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Daniela Simon\Desktop\EVALUARE\Ghiduri etapizate in consultare publica\Mobilitate urbana\GHIDUL SI ANEXE MU-MRJ-Etapizate-word\"/>
    </mc:Choice>
  </mc:AlternateContent>
  <xr:revisionPtr revIDLastSave="0" documentId="13_ncr:1_{1F191D90-6756-4A36-A902-E5071C979B6A}" xr6:coauthVersionLast="47" xr6:coauthVersionMax="47" xr10:uidLastSave="{00000000-0000-0000-0000-000000000000}"/>
  <bookViews>
    <workbookView xWindow="28680" yWindow="-30" windowWidth="26640" windowHeight="14370" xr2:uid="{00000000-000D-0000-FFFF-FFFF00000000}"/>
  </bookViews>
  <sheets>
    <sheet name="Sheet1" sheetId="1" r:id="rId1"/>
    <sheet name="AXA 13" sheetId="4" r:id="rId2"/>
    <sheet name="Centralizare" sheetId="2" r:id="rId3"/>
  </sheets>
  <definedNames>
    <definedName name="_xlnm._FilterDatabase" localSheetId="0" hidden="1">Sheet1!$A$5:$M$78</definedName>
    <definedName name="_xlnm.Print_Area" localSheetId="1">'AXA 13'!$A$1:$AU$23</definedName>
    <definedName name="_xlnm.Print_Area" localSheetId="2">Centralizare!$A$2:$J$26</definedName>
    <definedName name="_xlnm.Print_Area" localSheetId="0">Sheet1!$A$1:$Q$81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7" i="4" l="1"/>
  <c r="Z4" i="4"/>
  <c r="M60" i="1" l="1"/>
  <c r="F16" i="2" l="1"/>
  <c r="M52" i="1"/>
  <c r="K50" i="1"/>
  <c r="L50" i="1"/>
  <c r="N50" i="1"/>
  <c r="Q50" i="1"/>
  <c r="D16" i="2"/>
  <c r="C16" i="2"/>
  <c r="O50" i="1" l="1"/>
  <c r="P79" i="1"/>
  <c r="U17" i="4"/>
  <c r="V17" i="4" s="1"/>
  <c r="M15" i="4"/>
  <c r="N15" i="4"/>
  <c r="O15" i="4"/>
  <c r="P15" i="4"/>
  <c r="Q15" i="4"/>
  <c r="R15" i="4"/>
  <c r="T3" i="4"/>
  <c r="U3" i="4" s="1"/>
  <c r="T4" i="4"/>
  <c r="T5" i="4"/>
  <c r="T6" i="4"/>
  <c r="U6" i="4" s="1"/>
  <c r="T7" i="4"/>
  <c r="T8" i="4"/>
  <c r="T9" i="4"/>
  <c r="T10" i="4"/>
  <c r="U10" i="4" s="1"/>
  <c r="T11" i="4"/>
  <c r="U11" i="4" s="1"/>
  <c r="T12" i="4"/>
  <c r="U12" i="4" s="1"/>
  <c r="T13" i="4"/>
  <c r="T14" i="4"/>
  <c r="U14" i="4" s="1"/>
  <c r="T2" i="4"/>
  <c r="U2" i="4" s="1"/>
  <c r="U20" i="4"/>
  <c r="V20" i="4" s="1"/>
  <c r="U19" i="4"/>
  <c r="V19" i="4" s="1"/>
  <c r="U18" i="4"/>
  <c r="V18" i="4" s="1"/>
  <c r="S2" i="4"/>
  <c r="V2" i="4"/>
  <c r="W2" i="4" s="1"/>
  <c r="S3" i="4"/>
  <c r="V3" i="4"/>
  <c r="S4" i="4"/>
  <c r="M65" i="1" s="1"/>
  <c r="V4" i="4"/>
  <c r="W4" i="4" s="1"/>
  <c r="S5" i="4"/>
  <c r="V5" i="4"/>
  <c r="W5" i="4" s="1"/>
  <c r="S6" i="4"/>
  <c r="V6" i="4"/>
  <c r="W6" i="4" s="1"/>
  <c r="S7" i="4"/>
  <c r="M68" i="1" s="1"/>
  <c r="V7" i="4"/>
  <c r="W7" i="4" s="1"/>
  <c r="S8" i="4"/>
  <c r="V8" i="4"/>
  <c r="W8" i="4" s="1"/>
  <c r="S9" i="4"/>
  <c r="V9" i="4"/>
  <c r="W9" i="4" s="1"/>
  <c r="S10" i="4"/>
  <c r="V10" i="4"/>
  <c r="W10" i="4" s="1"/>
  <c r="S11" i="4"/>
  <c r="V11" i="4"/>
  <c r="W11" i="4" s="1"/>
  <c r="S12" i="4"/>
  <c r="V12" i="4"/>
  <c r="W12" i="4" s="1"/>
  <c r="S13" i="4"/>
  <c r="V13" i="4"/>
  <c r="W13" i="4" s="1"/>
  <c r="S14" i="4"/>
  <c r="V14" i="4"/>
  <c r="W14" i="4" s="1"/>
  <c r="Z19" i="4"/>
  <c r="Z20" i="4"/>
  <c r="N73" i="1" l="1"/>
  <c r="N67" i="1"/>
  <c r="U7" i="4"/>
  <c r="N68" i="1"/>
  <c r="U4" i="4"/>
  <c r="N65" i="1"/>
  <c r="N74" i="1"/>
  <c r="N70" i="1"/>
  <c r="U9" i="4"/>
  <c r="N75" i="1"/>
  <c r="N72" i="1"/>
  <c r="U13" i="4"/>
  <c r="N76" i="1"/>
  <c r="N69" i="1"/>
  <c r="U8" i="4"/>
  <c r="N66" i="1"/>
  <c r="U5" i="4"/>
  <c r="N77" i="1"/>
  <c r="U21" i="4"/>
  <c r="V21" i="4" s="1"/>
  <c r="S15" i="4"/>
  <c r="T15" i="4"/>
  <c r="V15" i="4"/>
  <c r="N71" i="1"/>
  <c r="W3" i="4"/>
  <c r="W15" i="4" s="1"/>
  <c r="U15" i="4" l="1"/>
  <c r="N78" i="1"/>
  <c r="X27" i="4"/>
  <c r="L77" i="1"/>
  <c r="L76" i="1"/>
  <c r="L75" i="1"/>
  <c r="L74" i="1"/>
  <c r="L73" i="1"/>
  <c r="L72" i="1"/>
  <c r="L71" i="1"/>
  <c r="L70" i="1"/>
  <c r="L69" i="1"/>
  <c r="L68" i="1"/>
  <c r="L67" i="1"/>
  <c r="L66" i="1"/>
  <c r="L65" i="1"/>
  <c r="L63" i="1"/>
  <c r="L62" i="1"/>
  <c r="L61" i="1"/>
  <c r="L59" i="1"/>
  <c r="L58" i="1"/>
  <c r="L57" i="1"/>
  <c r="L56" i="1"/>
  <c r="L55" i="1"/>
  <c r="L54" i="1"/>
  <c r="L53" i="1"/>
  <c r="L51" i="1"/>
  <c r="L48" i="1"/>
  <c r="L47" i="1"/>
  <c r="L46" i="1"/>
  <c r="L44" i="1"/>
  <c r="L43" i="1"/>
  <c r="L42" i="1"/>
  <c r="L40" i="1"/>
  <c r="L38" i="1"/>
  <c r="L36" i="1"/>
  <c r="L35" i="1"/>
  <c r="L34" i="1"/>
  <c r="L33" i="1"/>
  <c r="L32" i="1"/>
  <c r="L31" i="1"/>
  <c r="L30" i="1"/>
  <c r="L29" i="1"/>
  <c r="L28" i="1"/>
  <c r="L27" i="1"/>
  <c r="L25" i="1"/>
  <c r="L24" i="1"/>
  <c r="L23" i="1"/>
  <c r="L21" i="1"/>
  <c r="L20" i="1"/>
  <c r="L19" i="1"/>
  <c r="L18" i="1"/>
  <c r="L17" i="1"/>
  <c r="L16" i="1"/>
  <c r="L15" i="1"/>
  <c r="L14" i="1"/>
  <c r="L13" i="1"/>
  <c r="L12" i="1"/>
  <c r="L11" i="1"/>
  <c r="L9" i="1"/>
  <c r="L7" i="1"/>
  <c r="N53" i="1"/>
  <c r="N54" i="1"/>
  <c r="N55" i="1"/>
  <c r="N56" i="1"/>
  <c r="N57" i="1"/>
  <c r="N58" i="1"/>
  <c r="N59" i="1"/>
  <c r="N51" i="1"/>
  <c r="N52" i="1" s="1"/>
  <c r="N47" i="1"/>
  <c r="N48" i="1"/>
  <c r="N46" i="1"/>
  <c r="N43" i="1"/>
  <c r="N44" i="1"/>
  <c r="N42" i="1"/>
  <c r="N40" i="1"/>
  <c r="N41" i="1" s="1"/>
  <c r="N38" i="1"/>
  <c r="N39" i="1" s="1"/>
  <c r="N28" i="1"/>
  <c r="N29" i="1"/>
  <c r="N30" i="1"/>
  <c r="N31" i="1"/>
  <c r="N32" i="1"/>
  <c r="N33" i="1"/>
  <c r="N34" i="1"/>
  <c r="N35" i="1"/>
  <c r="N36" i="1"/>
  <c r="N27" i="1"/>
  <c r="N24" i="1"/>
  <c r="N25" i="1"/>
  <c r="N23" i="1"/>
  <c r="N14" i="1"/>
  <c r="N15" i="1"/>
  <c r="N16" i="1"/>
  <c r="N17" i="1"/>
  <c r="N18" i="1"/>
  <c r="N19" i="1"/>
  <c r="N20" i="1"/>
  <c r="N21" i="1"/>
  <c r="N12" i="1"/>
  <c r="N13" i="1"/>
  <c r="N11" i="1"/>
  <c r="N9" i="1"/>
  <c r="N10" i="1" s="1"/>
  <c r="N7" i="1"/>
  <c r="N8" i="1" s="1"/>
  <c r="J78" i="1"/>
  <c r="P78"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1" i="1"/>
  <c r="Q52" i="1"/>
  <c r="Q53" i="1"/>
  <c r="Q54" i="1"/>
  <c r="Q55" i="1"/>
  <c r="Q56" i="1"/>
  <c r="Q57" i="1"/>
  <c r="Q58" i="1"/>
  <c r="Q59" i="1"/>
  <c r="Q60" i="1"/>
  <c r="Q61" i="1"/>
  <c r="Q62" i="1"/>
  <c r="Q63" i="1"/>
  <c r="Q64" i="1"/>
  <c r="Q65" i="1"/>
  <c r="Q66" i="1"/>
  <c r="Q67" i="1"/>
  <c r="Q68" i="1"/>
  <c r="Q69" i="1"/>
  <c r="Q70" i="1"/>
  <c r="Q71" i="1"/>
  <c r="Q72" i="1"/>
  <c r="Q73" i="1"/>
  <c r="Q74" i="1"/>
  <c r="Q75" i="1"/>
  <c r="Q76" i="1"/>
  <c r="Q77" i="1"/>
  <c r="Q7" i="1"/>
  <c r="N26" i="1" l="1"/>
  <c r="N49" i="1"/>
  <c r="N45" i="1"/>
  <c r="N22" i="1"/>
  <c r="N60" i="1"/>
  <c r="Q79" i="1"/>
  <c r="Q78" i="1"/>
  <c r="M78" i="1" l="1"/>
  <c r="M64" i="1"/>
  <c r="K65" i="1"/>
  <c r="O65" i="1"/>
  <c r="M22" i="1"/>
  <c r="M10" i="1"/>
  <c r="M49" i="1"/>
  <c r="M41" i="1"/>
  <c r="M39" i="1"/>
  <c r="M37" i="1"/>
  <c r="M26" i="1"/>
  <c r="M8" i="1"/>
  <c r="M45" i="1"/>
  <c r="M79" i="1" l="1"/>
  <c r="K53" i="1"/>
  <c r="O53" i="1"/>
  <c r="K54" i="1"/>
  <c r="O54" i="1"/>
  <c r="K24" i="1"/>
  <c r="O23" i="1" l="1"/>
  <c r="K23" i="1"/>
  <c r="O27" i="1"/>
  <c r="O25" i="1"/>
  <c r="O55" i="1"/>
  <c r="O28" i="1"/>
  <c r="O11" i="1"/>
  <c r="O12" i="1"/>
  <c r="O46" i="1"/>
  <c r="O47" i="1"/>
  <c r="O42" i="1"/>
  <c r="O48" i="1"/>
  <c r="N61" i="1"/>
  <c r="O56" i="1"/>
  <c r="O57" i="1"/>
  <c r="O66" i="1"/>
  <c r="O58" i="1"/>
  <c r="N62" i="1"/>
  <c r="O62" i="1" s="1"/>
  <c r="O67" i="1"/>
  <c r="O59" i="1"/>
  <c r="O68" i="1"/>
  <c r="O69" i="1"/>
  <c r="O70" i="1"/>
  <c r="O13" i="1"/>
  <c r="O29" i="1"/>
  <c r="O30" i="1"/>
  <c r="O31" i="1"/>
  <c r="O32" i="1"/>
  <c r="O43" i="1"/>
  <c r="O72" i="1"/>
  <c r="O33" i="1"/>
  <c r="O34" i="1"/>
  <c r="O24" i="1"/>
  <c r="O14" i="1"/>
  <c r="O15" i="1"/>
  <c r="O16" i="1"/>
  <c r="O73" i="1"/>
  <c r="O74" i="1"/>
  <c r="N63" i="1"/>
  <c r="O63" i="1" s="1"/>
  <c r="O75" i="1"/>
  <c r="O76" i="1"/>
  <c r="O77" i="1"/>
  <c r="O35" i="1"/>
  <c r="O17" i="1"/>
  <c r="O18" i="1"/>
  <c r="O44" i="1"/>
  <c r="O19" i="1"/>
  <c r="O36" i="1"/>
  <c r="O20" i="1"/>
  <c r="O21" i="1"/>
  <c r="K21" i="1"/>
  <c r="K20" i="1"/>
  <c r="K36" i="1"/>
  <c r="K19" i="1"/>
  <c r="K44" i="1"/>
  <c r="K18" i="1"/>
  <c r="K17" i="1"/>
  <c r="K38" i="1"/>
  <c r="K35" i="1"/>
  <c r="K77" i="1"/>
  <c r="K76" i="1"/>
  <c r="K75" i="1"/>
  <c r="K63" i="1"/>
  <c r="K51" i="1"/>
  <c r="K74" i="1"/>
  <c r="K73" i="1"/>
  <c r="K9" i="1"/>
  <c r="K16" i="1"/>
  <c r="K15" i="1"/>
  <c r="K14" i="1"/>
  <c r="K34" i="1"/>
  <c r="K33" i="1"/>
  <c r="K72" i="1"/>
  <c r="K71" i="1"/>
  <c r="K43" i="1"/>
  <c r="K32" i="1"/>
  <c r="K31" i="1"/>
  <c r="K30" i="1"/>
  <c r="K29" i="1"/>
  <c r="K13" i="1"/>
  <c r="K70" i="1"/>
  <c r="K69" i="1"/>
  <c r="K68" i="1"/>
  <c r="K59" i="1"/>
  <c r="K67" i="1"/>
  <c r="K62" i="1"/>
  <c r="K58" i="1"/>
  <c r="K66" i="1"/>
  <c r="K57" i="1"/>
  <c r="K56" i="1"/>
  <c r="K61" i="1"/>
  <c r="K48" i="1"/>
  <c r="K42" i="1"/>
  <c r="K47" i="1"/>
  <c r="K40" i="1"/>
  <c r="K46" i="1"/>
  <c r="K12" i="1"/>
  <c r="K11" i="1"/>
  <c r="K28" i="1"/>
  <c r="K55" i="1"/>
  <c r="K25" i="1"/>
  <c r="K27" i="1"/>
  <c r="K7" i="1"/>
  <c r="O45" i="1" l="1"/>
  <c r="O60" i="1"/>
  <c r="O49" i="1"/>
  <c r="H13" i="2" s="1"/>
  <c r="O37" i="1"/>
  <c r="O61" i="1"/>
  <c r="O64" i="1" s="1"/>
  <c r="H12" i="2" s="1"/>
  <c r="N64" i="1"/>
  <c r="O26" i="1"/>
  <c r="O22" i="1"/>
  <c r="O9" i="1"/>
  <c r="O10" i="1" s="1"/>
  <c r="H6" i="2" s="1"/>
  <c r="O71" i="1"/>
  <c r="O78" i="1" s="1"/>
  <c r="O7" i="1"/>
  <c r="O8" i="1" s="1"/>
  <c r="H5" i="2" s="1"/>
  <c r="O40" i="1"/>
  <c r="O41" i="1" s="1"/>
  <c r="O38" i="1"/>
  <c r="O39" i="1" s="1"/>
  <c r="H14" i="2" s="1"/>
  <c r="O51" i="1"/>
  <c r="H9" i="2"/>
  <c r="N37" i="1"/>
  <c r="E9" i="2" l="1"/>
  <c r="E13" i="2"/>
  <c r="E12" i="2"/>
  <c r="E6" i="2"/>
  <c r="H8" i="2"/>
  <c r="E8" i="2" s="1"/>
  <c r="O52" i="1"/>
  <c r="O79" i="1" s="1"/>
  <c r="N79" i="1"/>
  <c r="G5" i="2"/>
  <c r="E5" i="2"/>
  <c r="G14" i="2"/>
  <c r="E14" i="2"/>
  <c r="G13" i="2"/>
  <c r="G9" i="2"/>
  <c r="H7" i="2"/>
  <c r="H11" i="2"/>
  <c r="G12" i="2"/>
  <c r="H15" i="2"/>
  <c r="G6" i="2"/>
  <c r="E15" i="2" l="1"/>
  <c r="E7" i="2"/>
  <c r="H10" i="2"/>
  <c r="G8" i="2"/>
  <c r="E11" i="2"/>
  <c r="G15" i="2"/>
  <c r="G11" i="2"/>
  <c r="G7" i="2"/>
  <c r="H22" i="2"/>
  <c r="H31" i="2" l="1"/>
  <c r="J21" i="2"/>
  <c r="J22" i="2" s="1"/>
  <c r="E10" i="2"/>
  <c r="G10" i="2"/>
  <c r="O84" i="1"/>
  <c r="H16" i="2"/>
  <c r="E16" i="2" s="1"/>
  <c r="C19" i="2" l="1"/>
  <c r="H24" i="2"/>
  <c r="G16" i="2"/>
  <c r="C20" i="2" l="1"/>
  <c r="I16" i="2"/>
  <c r="I6" i="2"/>
  <c r="I12" i="2"/>
  <c r="I13" i="2"/>
  <c r="I9" i="2"/>
  <c r="I14" i="2"/>
  <c r="I5" i="2"/>
  <c r="I10" i="2"/>
  <c r="I7" i="2"/>
  <c r="I11" i="2"/>
  <c r="I8" i="2"/>
  <c r="I15" i="2"/>
</calcChain>
</file>

<file path=xl/sharedStrings.xml><?xml version="1.0" encoding="utf-8"?>
<sst xmlns="http://schemas.openxmlformats.org/spreadsheetml/2006/main" count="527" uniqueCount="315">
  <si>
    <t>Nr crt</t>
  </si>
  <si>
    <t>Cod SMIS</t>
  </si>
  <si>
    <t>AP</t>
  </si>
  <si>
    <t>PI</t>
  </si>
  <si>
    <t>Judet</t>
  </si>
  <si>
    <t>Titlul proiect</t>
  </si>
  <si>
    <t>Beneficiar</t>
  </si>
  <si>
    <t>Data intrarii in vigoare a contractului</t>
  </si>
  <si>
    <t>Valoare totala,</t>
  </si>
  <si>
    <t>LEI</t>
  </si>
  <si>
    <t>Solicitat beneficiar</t>
  </si>
  <si>
    <t>lei</t>
  </si>
  <si>
    <t>2.1B</t>
  </si>
  <si>
    <t>AG</t>
  </si>
  <si>
    <t>Promovarea spiritului Antreprenorial prin sprijinirea activitatilor de cercetare-dezvoltare in cadrul Pitesti BUSINESS HUB-PROSANT.</t>
  </si>
  <si>
    <t>PARTENERIATUL DINTRE UAT PITESTI SI INSTITUTUL DE CERCETARE IN TRANSPORTURI INCERTRANS</t>
  </si>
  <si>
    <t>20.12.2019</t>
  </si>
  <si>
    <t>4,1</t>
  </si>
  <si>
    <t>Modernizarea infrastructurii serviciului de transport public local de calatori si cresterea atractivitatii transportului nemotorizat</t>
  </si>
  <si>
    <t>UAT MUNICIPIUL PITESTI</t>
  </si>
  <si>
    <t>30.04.2020</t>
  </si>
  <si>
    <t>3,2</t>
  </si>
  <si>
    <t>Dezvoltarea transportului public in Municipiul Curtea de Arges</t>
  </si>
  <si>
    <t>UAT MUNICIPIUL CURTEA DE ARGES</t>
  </si>
  <si>
    <t>18.05.2020</t>
  </si>
  <si>
    <t>10.1B</t>
  </si>
  <si>
    <t>CL</t>
  </si>
  <si>
    <t>Reabilitare, modernizare, extindere, (prin desfiintare corpuri C1, C4), dotare scoala gimnaziala nr.1, Dragos Voda, Comuna Dragos Voda, judetul Calarasi</t>
  </si>
  <si>
    <t>UAT COMUNA DRAGOS VODA</t>
  </si>
  <si>
    <t>02.12.2019</t>
  </si>
  <si>
    <t>Reabilitare, modernizare, extindere (prin desființare corpuri anexă C2, C3 și C4) și dotare Școala Gimnazială "Prof.Lucian Pavel", Municipiul Oltenița, județul Călărași</t>
  </si>
  <si>
    <t>UAT MUNICIPIUL OLTENITA</t>
  </si>
  <si>
    <t>22.12.2020</t>
  </si>
  <si>
    <t>Reabilitare, modernizare, extindere (prin desființare corp C5), dotare Școala Gimnazială Nr.1, Sat Lehliu - Comuna Lehliu - Județul Călărași</t>
  </si>
  <si>
    <t>UAT COMUNA LEHLIU</t>
  </si>
  <si>
    <t>27.05.2021</t>
  </si>
  <si>
    <t>Reducerea emisiilor de carbon în municipiul Călărași prin modernizarea infrastructurii căilor de rulare a transportului public local</t>
  </si>
  <si>
    <t>UAT MUNICIPIUL CALARASI</t>
  </si>
  <si>
    <t>3.1B</t>
  </si>
  <si>
    <t>Creșterea eficienței energetice la corpurile A, B, C și D la Spitalul Județean de Urgență Dr. Pompei Samarian Călărași</t>
  </si>
  <si>
    <t>UAT JUDETUL CALARASI</t>
  </si>
  <si>
    <t>17.08.2021</t>
  </si>
  <si>
    <t>DB</t>
  </si>
  <si>
    <t>CRESTEREA EFICIENTEI ENERGETICE A SPITALULUI ORASENESC PUCIOASA</t>
  </si>
  <si>
    <t>UAT ORASUL PUCIOASA</t>
  </si>
  <si>
    <t>19.06.2019</t>
  </si>
  <si>
    <t>7,1</t>
  </si>
  <si>
    <t>MODERNIZARE ȘI AMENAJARE PEISAGERĂ ÎN ZONA CENTRALĂ A STAȚIUNII BALNEOCLIMATICE ORAȘ PUCIOASA</t>
  </si>
  <si>
    <t>29.05.2019</t>
  </si>
  <si>
    <t>5,2</t>
  </si>
  <si>
    <t>Amenajare zona de agrement si petrecere a timpului liber prin reconversia si refunctionalizarea terenului din Lunca Raului Ialomita, Orasul Pucioasa, judetul Dambovita</t>
  </si>
  <si>
    <t>08.03.2019</t>
  </si>
  <si>
    <t>CREARE ZONĂ DE AGREMENT „MOȚĂIANCA” ÎN STAȚIUNEA BALNEOCLIMATICĂ ORAȘ PUCIOASA</t>
  </si>
  <si>
    <t>6,1</t>
  </si>
  <si>
    <t>Dezvoltarea infrastructurii de transport județean prin modernizarea DJ720, DJ720B, DJ711 și DJ101B pe traseul limita județ Prahova - Moreni - Gura Ocniței - Răzvad - Ulmi - Târgoviște - Comișani - Bucșani - Băleni - Dobra - Finta - Bilciurești - Cojasca - Cornești - Butimanu - Niculești - limită județ Ilfov</t>
  </si>
  <si>
    <t>PARTENERIAT INTRE UAT JUDEȚUL DÂMBOVIȚA - UAT MUNICIPIUL TÂRGOVIȘTE - UAT MUNICIPIUL MORENI</t>
  </si>
  <si>
    <t>04.08.2017</t>
  </si>
  <si>
    <t>Dezvoltarea infrastructurii turistice în stațiunea balneoclimaterică orașul Pucioasa</t>
  </si>
  <si>
    <t>01.11.2017</t>
  </si>
  <si>
    <t>"Reabilitarea, extinderea și modernizarea Liceului Tehnologic Goga Ionescu"</t>
  </si>
  <si>
    <t>UAT ORAS TITU</t>
  </si>
  <si>
    <t>22.09.2020</t>
  </si>
  <si>
    <t>Reabilitare, modernizare și extindere Școala cu clasele I-VIII Gherghițești</t>
  </si>
  <si>
    <t>UAT COMUNA COBIA</t>
  </si>
  <si>
    <t>19.03.2021</t>
  </si>
  <si>
    <t>13,1</t>
  </si>
  <si>
    <t>Construirea și dotarea Grădiniței "Prichindel" din orașul Pucioasa și îmbunătățirea spațiilor publice urbane din zonă”</t>
  </si>
  <si>
    <t>29.07.2020</t>
  </si>
  <si>
    <t>Reabilitarea, extinderea și modernizarea Școlii Gimnaziale Diaconu Coresi, oraș Fieni, județ Dâmbovița</t>
  </si>
  <si>
    <t>UAT ORAȘ FIENI</t>
  </si>
  <si>
    <t>Îmbunătățirea calității vieții populației prin investiții în infrastructura Orașului Titu</t>
  </si>
  <si>
    <t>12.04.2021</t>
  </si>
  <si>
    <t>Îmbunătățirea infrastructurii educaționale prin extinderea, reabilitarea, modernizarea și echiparea Școlii Gimnaziale "Tudor Vladimirescu" din Târgoviște, jud.Dâmbovița</t>
  </si>
  <si>
    <t>UAT MUNICIPIUL TARGOVISTE</t>
  </si>
  <si>
    <t>16.02.2021</t>
  </si>
  <si>
    <t>Reabilitarea, modernizarea și extinderea Liceului Tehnologic Pucioasa</t>
  </si>
  <si>
    <t>03.04.2020</t>
  </si>
  <si>
    <t>Îmbunătățirea calității vieții populației Orașului Titu prin investiții în infrastructura rutieră, educațională și socio-culturală</t>
  </si>
  <si>
    <t>10.02.2021</t>
  </si>
  <si>
    <t>Modernizare, extindere și dotare Școala Malu cu Flori din Satul Malu cu Flori, în Comuna Malu cu Flori, Județul Dâmbovița</t>
  </si>
  <si>
    <t>UAT COMUNA MALU CU FLORI</t>
  </si>
  <si>
    <t>Reabilitarea, modernizarea, extinderea și dotarea Grădiniței cu Program Prelungit nr.2 din orașul Pucioasa și îmbunătățirea spațiilor publice urbane din zonă</t>
  </si>
  <si>
    <t>Proiect Integrat de Regenerare Urbană Nord</t>
  </si>
  <si>
    <t>UAT ORAȘ RĂCARI</t>
  </si>
  <si>
    <t>25.02.2021</t>
  </si>
  <si>
    <t>Proiect Integrat de Regenerare Urbană SUD</t>
  </si>
  <si>
    <t>Eficientizarea energetică a Grădiniței cu program prelungit "Micul Prinț" Pucioasa</t>
  </si>
  <si>
    <t>31.12.2020</t>
  </si>
  <si>
    <t>GR</t>
  </si>
  <si>
    <t>Modernizarea infrastructurii de transport public pe coridorul de mobilitate urbana central al municipiului Giurgiu</t>
  </si>
  <si>
    <t>UAT MUNICIPIUL GIURGIU</t>
  </si>
  <si>
    <t>23.12.2019</t>
  </si>
  <si>
    <t>Modernizarea infrastructurii de transport public pe coridorul de mobilitate urbana vestic al municipiului Giurgiu</t>
  </si>
  <si>
    <t>04.03.2020</t>
  </si>
  <si>
    <t>Modernizarea infrastructurii de transport public în zona Estică a municipiului Giurgiu</t>
  </si>
  <si>
    <t>05.05.2020</t>
  </si>
  <si>
    <t>Infrastructura Soseaua Alexandriei</t>
  </si>
  <si>
    <t>13.04.2020</t>
  </si>
  <si>
    <t>IL</t>
  </si>
  <si>
    <t>Modernizare DJ 306 limită județul Călărași - Albești - Andrășești - Gheorghe Doja - Crunți intersecție cu DJ 102H, DJ 102H intersecție cu DJ 306 - Reviga - Cocora - intersecție cu DJ 203E, DJ 203E intersecție cu DJ 102H - Cocora - limită judeţ Buzău</t>
  </si>
  <si>
    <t>UAT JUDETUL IALOMITA</t>
  </si>
  <si>
    <t>27.08.2019</t>
  </si>
  <si>
    <t>Dezvoltare durabilă și creșterea calității vieții în Municipiul Urziceni prin abordarea integrată a măsurilor de regenerare urbană”,</t>
  </si>
  <si>
    <t>UAT MUNICIPIUL URZICENI</t>
  </si>
  <si>
    <t>09.07.2020</t>
  </si>
  <si>
    <t>Creșterea nivelului educațional prin reabilitarea și modernizarea Școlii Gimnaziale Aurel Vlaicu și a spațiilor publice urbane în Municipiul Fetești</t>
  </si>
  <si>
    <t>UAT MUNICIPIUL FETESTI</t>
  </si>
  <si>
    <t>Reabilitare cai de rulare ale transportului public in Municipiul Slobozia</t>
  </si>
  <si>
    <t>UAT MUNICIPIUL SLOBOZIA</t>
  </si>
  <si>
    <t>18.02.2020</t>
  </si>
  <si>
    <t>Modernizarea transportului public din municipiul Slobozia</t>
  </si>
  <si>
    <t>23.04.2020</t>
  </si>
  <si>
    <t>"Sistem integrat de transport durabil în Municipiul Fetești"</t>
  </si>
  <si>
    <t>24.04.2020</t>
  </si>
  <si>
    <t>PH</t>
  </si>
  <si>
    <t>Cresterea eficientei energetice la Spitalul Orasenesc "Sfanta Filofteia" Mizil - Pavilionul principal</t>
  </si>
  <si>
    <t>UAT ORAS MIZIL</t>
  </si>
  <si>
    <t>25.04.2019</t>
  </si>
  <si>
    <t>Cresterea eficientei energetice a cladirilor publice din Orasul Azuga - Spitalul de Ortopedie si Traumatologie Azuga</t>
  </si>
  <si>
    <t>UAT ORAS AZUGA</t>
  </si>
  <si>
    <t>21.03.2019</t>
  </si>
  <si>
    <t>CRESTEREA EFICIENTEI ENERGETICE IN SPITALUL MUNICIPAL CAMPINA</t>
  </si>
  <si>
    <t>UAT MUNICIPIUL CAMPINA</t>
  </si>
  <si>
    <t>19.03.2019</t>
  </si>
  <si>
    <t>3.1A</t>
  </si>
  <si>
    <t>Creșterea eficienței energetice în clădirile rezidențiale din municipiul Câmpina</t>
  </si>
  <si>
    <t>06.05.2021</t>
  </si>
  <si>
    <t>NOCO2 - Cale pentru pietoni</t>
  </si>
  <si>
    <t>UAT ORAS SINAIA</t>
  </si>
  <si>
    <t>24.06.2019</t>
  </si>
  <si>
    <t>Centru Multifunctional Educational - recreational "ZINO - Educatie de la A la Z"</t>
  </si>
  <si>
    <t>12.11.2019</t>
  </si>
  <si>
    <t>Sinaia 3.0 Educatie. Social. Mobilitate.</t>
  </si>
  <si>
    <t>30.07.2020</t>
  </si>
  <si>
    <t>10.1A</t>
  </si>
  <si>
    <t>Reabilitarea, Modernizarea, Extinderea și Dotarea Grădiniței cu program prelungit nr.5- oraș Mizil</t>
  </si>
  <si>
    <t>12.07.2019</t>
  </si>
  <si>
    <t>Reabilitarea, modernizarea, extinderea si dotarea Liceului tehnologic ”Tase Dumitrescu” Mizil</t>
  </si>
  <si>
    <t>25.06.2019</t>
  </si>
  <si>
    <t>Îmbunătățirea infrastructurii educaționale prin construirea unei grădinițe în Municipiul Câmpina</t>
  </si>
  <si>
    <t>31.03.2021</t>
  </si>
  <si>
    <t>Îmbunatatirea calitatii vietii populatiei în Orasul Urlati, judetul Prahova</t>
  </si>
  <si>
    <t>UAT ORASUL URLATI</t>
  </si>
  <si>
    <t>15.02.2021</t>
  </si>
  <si>
    <t>"Imbunatatirea calitatii vietii populatiei in oras Azuga, judet Prahova - LOT II"</t>
  </si>
  <si>
    <t>19.03.2020</t>
  </si>
  <si>
    <t>Îmbunătățirea calității vieții populației din Orașul Mizil</t>
  </si>
  <si>
    <t>Asigurarea mobilitatii traficului prin prelungirea legaturii rutiere si de transport public intre Gara de Sud si Gaea de Vest(Str. Libertatii) inclusiv lucrari de reabilitare a domeniului public al pietelor garilor Et.II</t>
  </si>
  <si>
    <t>UAT MUNICIPIUL PLOIESTI</t>
  </si>
  <si>
    <t>01.07.2020</t>
  </si>
  <si>
    <t>4,3</t>
  </si>
  <si>
    <t>Regenerare urbana in zona marginalizata a Municipiului Ploiesti - cartier pictor Rosenthal</t>
  </si>
  <si>
    <t>15.09.2020</t>
  </si>
  <si>
    <t>CRESTEREA EFICIENTEI ENERGETICE A CLADIRILOR PUBLICE DIN ORASUL AZUGA-LICEUL TEORETIC AZUGA</t>
  </si>
  <si>
    <t>04.11.2021</t>
  </si>
  <si>
    <t>TR</t>
  </si>
  <si>
    <t>Durabilitate. Eficienta. Sanatate - Reabilitarea termica a Spitalului Caritas din municipiul Rosiorii de Vede</t>
  </si>
  <si>
    <t>UAT MUNICIPIUL ROȘIORII DE VEDE</t>
  </si>
  <si>
    <t>28.05.2019</t>
  </si>
  <si>
    <t>Reabilitare DJ 503, Drăgăneşti Vlaşca ( DE 70 ) – lim. jud. Dâmboviţa, km 38+838 – 87+313 (L=48,475 km)</t>
  </si>
  <si>
    <t>UAT JUDETUL TELEORMAN</t>
  </si>
  <si>
    <t>20.02.2019</t>
  </si>
  <si>
    <t>Îmbunătățirea eficienței energetice - Spital Orășenesc Zimnicea</t>
  </si>
  <si>
    <t>UAT ORAȘUL ZIMNICEA</t>
  </si>
  <si>
    <t>Reducerea emisiilor de carbon in Municipiul Alexandria, prin adoptarea unui transport public ecologic</t>
  </si>
  <si>
    <t>UAT MUNICIPIUL ALEXANDRIA</t>
  </si>
  <si>
    <t>22.01.2020</t>
  </si>
  <si>
    <t>"Reabilitare termica a cladirii C1 (Pavilion Administrativ nr. 48-129-01) în vederea cresterii performanței energetice” din Rosiori de Vede, str. Sf. Theodor, nr. 37, județ Teleorman, sediul Detasamentului de Pompieri Rosiori de Vede al Inspectoratului pentru Situații de Urgență „A.D.GHICA” al Județului Teleorman</t>
  </si>
  <si>
    <t>INSPECTORATUL PENTRU SITUATII DE URGENTA ”ALEXANDRU DIMITRIE GHICA” AL JUDETULUI TELEORMAN</t>
  </si>
  <si>
    <t>Reabilitare termica si modernizare in vederea cresterii eficientei energetice a constructiei C1</t>
  </si>
  <si>
    <t>PARTENERIATUL DINTRE INSPECTORATUL DE POLIȚIE JUDEȚEAN TELEORMAN SI UNITATEA MILITARA 0735 PLOIESTI, AVAND CA LIDER DE PARTENERIAT INSPECTORATUL DE POLIȚIE JUDEȚEAN TELEORMAN</t>
  </si>
  <si>
    <t>21.10.2021</t>
  </si>
  <si>
    <t>TOTAL 2.1B</t>
  </si>
  <si>
    <t>TOTAL 3.2</t>
  </si>
  <si>
    <t>TOTAL 4.1</t>
  </si>
  <si>
    <t>TOTAL 4.3</t>
  </si>
  <si>
    <t>TOTAL 5.2</t>
  </si>
  <si>
    <t>TOTAL 6.1</t>
  </si>
  <si>
    <t>TOTAL 7.1</t>
  </si>
  <si>
    <t>TOTAL 3.1A</t>
  </si>
  <si>
    <t>TOTAL 3.1B</t>
  </si>
  <si>
    <t>TOTAL 10.1B</t>
  </si>
  <si>
    <t>TOTAL 10.1A</t>
  </si>
  <si>
    <t>TOTAL 10.2</t>
  </si>
  <si>
    <t>NECESAR DE FINANȚARE lei</t>
  </si>
  <si>
    <t>NECESAR DE FINANȚARE EURO</t>
  </si>
  <si>
    <t>Obiectiv specific</t>
  </si>
  <si>
    <t>Valoare proiecte FEDR</t>
  </si>
  <si>
    <t>Valoare totala proiecte (FEDR+BS)</t>
  </si>
  <si>
    <t>2.1. - locuinte</t>
  </si>
  <si>
    <t>2.1. - cladiri publice</t>
  </si>
  <si>
    <t>3.2. - drumuri judetene</t>
  </si>
  <si>
    <t>4.2. - invatamant prescolar</t>
  </si>
  <si>
    <t>4.2. - invatamant primar si secundar</t>
  </si>
  <si>
    <t>4.2. - invatamant profesional si tehnic</t>
  </si>
  <si>
    <t>5.2. - infrastructura turistica</t>
  </si>
  <si>
    <t>5.2. - regenerare urbana</t>
  </si>
  <si>
    <t>TOTAL</t>
  </si>
  <si>
    <t>% ETAPIZATE DIN TOTAL PR SM 2021-2027</t>
  </si>
  <si>
    <t>valuare actualizare conform OUG 64</t>
  </si>
  <si>
    <t>Valoare totala eligibila inițială</t>
  </si>
  <si>
    <t>Progres financiar cf. art. 3 lit.d) -OUG 36/2023 31.12.2023</t>
  </si>
  <si>
    <t>Progres financiar cf. art. 3 lit.d) -OUG 36/2023 22.02.2024</t>
  </si>
  <si>
    <t>OS 2.1 eficientă</t>
  </si>
  <si>
    <t>OS 5.2 - regenerare</t>
  </si>
  <si>
    <t>OS 4.2- gradinite</t>
  </si>
  <si>
    <t>OS 4.2 - primar si secundar</t>
  </si>
  <si>
    <t>Modernizarea infrastructurii stradale</t>
  </si>
  <si>
    <t>Infiintare facilitate recreationala de mici dimensiuni- Loc de joaca</t>
  </si>
  <si>
    <t xml:space="preserve">Infiintare corp B Scoala Gimnaziala Ion Heliade Radulescu </t>
  </si>
  <si>
    <t>Infiintare Centru Multifunctional Cultural prin construirea unei cladiri noi</t>
  </si>
  <si>
    <t>3. Sud - Muntenia</t>
  </si>
  <si>
    <t xml:space="preserve">Modernizare străzi </t>
  </si>
  <si>
    <t>scoala gimnazială Aurel Vlaicu</t>
  </si>
  <si>
    <t>amenajare teren de sport multifuncțional în curtea școlii nr. 1 din orașul Mizil</t>
  </si>
  <si>
    <t>Modernizare, reabilitare și dotare Casa de Cultură a orașului Mizil</t>
  </si>
  <si>
    <t>refuncționalizarea și schimbarea destinației vechii primării a orașului în Muzeul comunității mizilene</t>
  </si>
  <si>
    <t>Școala gimnazială Sfântul Nicolae Mizil</t>
  </si>
  <si>
    <t xml:space="preserve">Școală </t>
  </si>
  <si>
    <t>modernizare străzi</t>
  </si>
  <si>
    <t>Construire centru cultural prin desfiintare spatiu si amenajare ambientală</t>
  </si>
  <si>
    <t>Cresă</t>
  </si>
  <si>
    <t>Parc</t>
  </si>
  <si>
    <t>amenajare parcul eroilor în orașul Răcari</t>
  </si>
  <si>
    <t>extindere și modernizare  bază sportivă Răcari</t>
  </si>
  <si>
    <t>modernizare străzi în zona de sud a orașului Racari</t>
  </si>
  <si>
    <t>Școala gimnazială Răcari</t>
  </si>
  <si>
    <t>modernizare străzi în zona de nord a orașului Racari</t>
  </si>
  <si>
    <t>amenajare parc în satul Sabiești și modernizare strazi</t>
  </si>
  <si>
    <t>construire bază sportivă satul Colacu</t>
  </si>
  <si>
    <t>inființare centru cultural și bază sportiva satul Stanești</t>
  </si>
  <si>
    <t>inființare centru cultural satul Colacu</t>
  </si>
  <si>
    <t>Scoala gimnazială Colacu</t>
  </si>
  <si>
    <t>Reabilitare, modernizare, extindere și dotare gradinita</t>
  </si>
  <si>
    <t>Reabilitare străzi și sistem de evacuare ape pluviale</t>
  </si>
  <si>
    <t>reabilitare termica și modernizare centru pentru tineret</t>
  </si>
  <si>
    <t>Construire creșă în orașul Titu</t>
  </si>
  <si>
    <t>Locuințe sociale</t>
  </si>
  <si>
    <t>Scoala gimnazială pictor Nicolae Grigorescu</t>
  </si>
  <si>
    <t>Demolare gradinita și construcție una noua</t>
  </si>
  <si>
    <t>Strada Badea Cârțan</t>
  </si>
  <si>
    <t>Scoala George Enescu</t>
  </si>
  <si>
    <t>Scoala Principesa Maria</t>
  </si>
  <si>
    <t>zona pietonală</t>
  </si>
  <si>
    <t>centru multifuncțional educational-recreational</t>
  </si>
  <si>
    <t>NEELIGIBIL lei</t>
  </si>
  <si>
    <t xml:space="preserve">Necesar de finantare FEDR   
   -lei- </t>
  </si>
  <si>
    <t>Solicitat componenta 7</t>
  </si>
  <si>
    <t>tip componenta 7</t>
  </si>
  <si>
    <t>Solicitat componenta 6</t>
  </si>
  <si>
    <t>tip componenta 6</t>
  </si>
  <si>
    <t>Solicitat componenta 5</t>
  </si>
  <si>
    <t>tip componenta 5</t>
  </si>
  <si>
    <t>Solicitat componenta 4</t>
  </si>
  <si>
    <t>tip componenta 4</t>
  </si>
  <si>
    <t>Solicitat componenta 3</t>
  </si>
  <si>
    <t>tip componenta 3</t>
  </si>
  <si>
    <t>Solicitat componenta 2</t>
  </si>
  <si>
    <t>tip componenta 2</t>
  </si>
  <si>
    <t>Solicitat componenta 1</t>
  </si>
  <si>
    <t>tip componenta 1</t>
  </si>
  <si>
    <t>NEELIGIBIL euro</t>
  </si>
  <si>
    <t xml:space="preserve">Necesar de finantare FEDR    
  - euro - </t>
  </si>
  <si>
    <t>Cheltuieli neeligibile, LEI (inclusiv TVA neeligibil)</t>
  </si>
  <si>
    <t>Contributie beneficiar, LEI</t>
  </si>
  <si>
    <t>Buget de Stat, LEI</t>
  </si>
  <si>
    <t>FEDR  LEI</t>
  </si>
  <si>
    <t>Valoare totala eligibila, LEI</t>
  </si>
  <si>
    <t>Valoare totala,LEI</t>
  </si>
  <si>
    <t>Data finalizarii contractului</t>
  </si>
  <si>
    <t>Data începerii implementării</t>
  </si>
  <si>
    <t>Durata, luni</t>
  </si>
  <si>
    <t>Regiune</t>
  </si>
  <si>
    <t>Solicitat beneficiar 22.02.2024  LEI</t>
  </si>
  <si>
    <t>5.1. - regenerare urbana</t>
  </si>
  <si>
    <t>BUGET TOTAL ELIGIBIL 31.12.2023</t>
  </si>
  <si>
    <t>041</t>
  </si>
  <si>
    <t>1.1 Cercetare – dezvoltare - inovare în colaborare cu mediul academic</t>
  </si>
  <si>
    <t>Alocare FEDR+BS</t>
  </si>
  <si>
    <t>Alocare FEDR</t>
  </si>
  <si>
    <t>Procent fazate vs alocare FEDR+BS</t>
  </si>
  <si>
    <t>% ETAPIZATE DIN FEDR PR SM 2021-2027</t>
  </si>
  <si>
    <t>Nr. obiecte de investiție</t>
  </si>
  <si>
    <t>NR proiecte individuale</t>
  </si>
  <si>
    <t>NR proiecte integrate</t>
  </si>
  <si>
    <t>ALOCARE PRSM FEDR</t>
  </si>
  <si>
    <t>ALOCARE PRSM FEDR+BS</t>
  </si>
  <si>
    <t>TOT. EURO</t>
  </si>
  <si>
    <t>In "Sheet1"</t>
  </si>
  <si>
    <t>Delta</t>
  </si>
  <si>
    <t>EUR</t>
  </si>
  <si>
    <t>001-030</t>
  </si>
  <si>
    <t>045</t>
  </si>
  <si>
    <t>081-086</t>
  </si>
  <si>
    <t>093</t>
  </si>
  <si>
    <t>121</t>
  </si>
  <si>
    <t>122</t>
  </si>
  <si>
    <t>124</t>
  </si>
  <si>
    <t>165</t>
  </si>
  <si>
    <t>168</t>
  </si>
  <si>
    <t>The 13 projects under PA 13 ROP 14-20 becames 21 (split by component) = difference 7</t>
  </si>
  <si>
    <t>2 projects (Ialomita &amp; Teleorman) with EUR 11 M each</t>
  </si>
  <si>
    <t>Comments</t>
  </si>
  <si>
    <t xml:space="preserve">By far biggest weigth of all phased projects </t>
  </si>
  <si>
    <t>% on total phasing</t>
  </si>
  <si>
    <t>Education infrastructure overall = 13.95%</t>
  </si>
  <si>
    <t>Big pressure on limited allocation</t>
  </si>
  <si>
    <t>INSERTED FROM FINANCIAL TABLE</t>
  </si>
  <si>
    <t>CONCLUSIONS</t>
  </si>
  <si>
    <t>2.8. - mobilitate urbana MRJ+Alte municipii și orașe</t>
  </si>
  <si>
    <t>PROIECT FINALIZAT</t>
  </si>
  <si>
    <t xml:space="preserve">Programul  Regional Sud-Muntenia 2021-2027    </t>
  </si>
  <si>
    <t>Prioritatea P3 - O regiune cu mobilitate urbană durabilă</t>
  </si>
  <si>
    <t>LISTA PROIECTELOR ETAPIZATE  DIN PERIOADA 2014-2020 - PRIORITATEA 4.1 IN PERIOADA 2021-2027 - OBIECTIV SPECIFIC 2.8.</t>
  </si>
  <si>
    <t>Obiectiv specific RSO 2.8 – Promovarea mobilității urbane multimodale sustenabile, ca parte a tranziției către o economie cu zero emisii de dioxid de carbon
Operatiunea A: Sprijin acordat municipiilor reședință de județ, inclusiv zonelor urbane funcționale ale acestora, din regiunea Sud-Muntenia, pentru investiții în operațiuni de mobilitate urbană multimodală sustenabilă-Proiecte etapizate.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</si>
</sst>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sz val="11"/>
      <color rgb="FFFF0000"/>
      <name val="Calibri"/>
      <family val="2"/>
      <scheme val="minor"/>
    </font>
    <font>
      <sz val="9"/>
      <color theme="1"/>
      <name val="Calibri"/>
      <family val="2"/>
      <scheme val="minor"/>
    </font>
    <font>
      <b/>
      <sz val="9"/>
      <color theme="1"/>
      <name val="Calibri"/>
      <family val="2"/>
      <scheme val="minor"/>
    </font>
    <font>
      <b/>
      <sz val="9"/>
      <color rgb="FFFF0000"/>
      <name val="Calibri"/>
      <family val="2"/>
      <scheme val="minor"/>
    </font>
    <font>
      <b/>
      <sz val="9"/>
      <name val="Calibri"/>
      <family val="2"/>
      <scheme val="minor"/>
    </font>
    <font>
      <sz val="9"/>
      <color rgb="FFFF0000"/>
      <name val="Calibri"/>
      <family val="2"/>
      <scheme val="minor"/>
    </font>
    <font>
      <sz val="9"/>
      <name val="Calibri"/>
      <family val="2"/>
      <scheme val="minor"/>
    </font>
    <font>
      <sz val="11"/>
      <color theme="1"/>
      <name val="Trebuchet MS"/>
      <family val="2"/>
    </font>
    <font>
      <b/>
      <sz val="9"/>
      <name val="Trebuchet MS"/>
      <family val="2"/>
    </font>
    <font>
      <b/>
      <sz val="11"/>
      <name val="Calibri"/>
      <family val="2"/>
      <scheme val="minor"/>
    </font>
    <font>
      <sz val="11"/>
      <color rgb="FFFF0000"/>
      <name val="Calibri"/>
      <family val="2"/>
      <scheme val="minor"/>
    </font>
    <font>
      <b/>
      <sz val="18"/>
      <color theme="1"/>
      <name val="Calibri"/>
      <family val="2"/>
      <scheme val="minor"/>
    </font>
    <font>
      <sz val="8"/>
      <name val="Calibri"/>
      <family val="2"/>
      <scheme val="minor"/>
    </font>
    <font>
      <b/>
      <i/>
      <sz val="10"/>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FF66FF"/>
        <bgColor indexed="64"/>
      </patternFill>
    </fill>
    <fill>
      <patternFill patternType="solid">
        <fgColor rgb="FF00B0F0"/>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rgb="FFFF99FF"/>
        <bgColor indexed="64"/>
      </patternFill>
    </fill>
    <fill>
      <patternFill patternType="solid">
        <fgColor theme="8" tint="0.39997558519241921"/>
        <bgColor theme="4"/>
      </patternFill>
    </fill>
    <fill>
      <patternFill patternType="solid">
        <fgColor rgb="FF92D050"/>
        <bgColor theme="4"/>
      </patternFill>
    </fill>
    <fill>
      <patternFill patternType="solid">
        <fgColor rgb="FFFFC000"/>
        <bgColor theme="4"/>
      </patternFill>
    </fill>
    <fill>
      <patternFill patternType="solid">
        <fgColor rgb="FFFFFF00"/>
        <bgColor theme="4"/>
      </patternFill>
    </fill>
    <fill>
      <patternFill patternType="solid">
        <fgColor rgb="FF92D050"/>
        <bgColor indexed="64"/>
      </patternFill>
    </fill>
    <fill>
      <patternFill patternType="solid">
        <fgColor rgb="FF00B0F0"/>
        <bgColor theme="4"/>
      </patternFill>
    </fill>
    <fill>
      <patternFill patternType="solid">
        <fgColor rgb="FF00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0" fontId="12" fillId="0" borderId="0"/>
    <xf numFmtId="0" fontId="1" fillId="0" borderId="0"/>
  </cellStyleXfs>
  <cellXfs count="135">
    <xf numFmtId="0" fontId="0" fillId="0" borderId="0" xfId="0"/>
    <xf numFmtId="0" fontId="0" fillId="0" borderId="0" xfId="0" applyAlignment="1">
      <alignment vertical="top"/>
    </xf>
    <xf numFmtId="0" fontId="0" fillId="0" borderId="1" xfId="0" applyBorder="1" applyAlignment="1">
      <alignment vertical="top" wrapText="1"/>
    </xf>
    <xf numFmtId="4" fontId="0" fillId="0" borderId="1" xfId="0" applyNumberFormat="1" applyBorder="1" applyAlignment="1">
      <alignment horizontal="right" vertical="top" wrapText="1"/>
    </xf>
    <xf numFmtId="0" fontId="0" fillId="0" borderId="0" xfId="0" applyAlignment="1">
      <alignment horizontal="right" vertical="top"/>
    </xf>
    <xf numFmtId="0" fontId="0" fillId="0" borderId="1" xfId="0" applyBorder="1" applyAlignment="1">
      <alignment horizontal="right" vertical="top" wrapText="1"/>
    </xf>
    <xf numFmtId="0" fontId="0" fillId="0" borderId="1" xfId="0" applyBorder="1" applyAlignment="1">
      <alignment horizontal="right" vertical="top"/>
    </xf>
    <xf numFmtId="4" fontId="0" fillId="0" borderId="1" xfId="0" applyNumberFormat="1" applyBorder="1" applyAlignment="1">
      <alignment horizontal="right" vertical="top"/>
    </xf>
    <xf numFmtId="4" fontId="2" fillId="3" borderId="1" xfId="0" applyNumberFormat="1" applyFont="1" applyFill="1" applyBorder="1" applyAlignment="1">
      <alignment horizontal="right" vertical="top"/>
    </xf>
    <xf numFmtId="4" fontId="0" fillId="0" borderId="0" xfId="0" applyNumberFormat="1" applyAlignment="1">
      <alignment vertical="top"/>
    </xf>
    <xf numFmtId="0" fontId="0" fillId="2" borderId="0" xfId="0" applyFill="1" applyAlignment="1">
      <alignment vertical="top"/>
    </xf>
    <xf numFmtId="4" fontId="2" fillId="0" borderId="1" xfId="0" applyNumberFormat="1" applyFont="1" applyBorder="1" applyAlignment="1">
      <alignment horizontal="center" vertical="top" wrapText="1"/>
    </xf>
    <xf numFmtId="0" fontId="2" fillId="2" borderId="1" xfId="0" applyFont="1" applyFill="1" applyBorder="1" applyAlignment="1">
      <alignment horizontal="center" vertical="top" wrapText="1"/>
    </xf>
    <xf numFmtId="0" fontId="0" fillId="0" borderId="1" xfId="0" applyBorder="1" applyAlignment="1">
      <alignment horizontal="center" vertical="top" wrapText="1"/>
    </xf>
    <xf numFmtId="10" fontId="0" fillId="0" borderId="1" xfId="0" applyNumberFormat="1" applyBorder="1" applyAlignment="1">
      <alignment horizontal="center"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2" fillId="3" borderId="1" xfId="0" applyFont="1" applyFill="1" applyBorder="1" applyAlignment="1">
      <alignment horizontal="right" vertical="top" wrapText="1"/>
    </xf>
    <xf numFmtId="39" fontId="2" fillId="3" borderId="1" xfId="0"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10" fontId="2" fillId="3" borderId="1" xfId="0" applyNumberFormat="1" applyFont="1" applyFill="1" applyBorder="1" applyAlignment="1">
      <alignment horizontal="center" vertical="top" wrapText="1"/>
    </xf>
    <xf numFmtId="164" fontId="2" fillId="3" borderId="1" xfId="0" applyNumberFormat="1" applyFont="1" applyFill="1" applyBorder="1" applyAlignment="1">
      <alignment horizontal="right" vertical="top" wrapText="1"/>
    </xf>
    <xf numFmtId="4" fontId="0" fillId="2" borderId="1" xfId="0" applyNumberFormat="1" applyFill="1" applyBorder="1" applyAlignment="1">
      <alignment horizontal="right" vertical="top" wrapText="1"/>
    </xf>
    <xf numFmtId="0" fontId="0" fillId="3" borderId="1" xfId="0" applyFill="1" applyBorder="1" applyAlignment="1">
      <alignment horizontal="right" vertical="top" wrapText="1"/>
    </xf>
    <xf numFmtId="0" fontId="2" fillId="0" borderId="1" xfId="0" applyFont="1" applyBorder="1" applyAlignment="1">
      <alignment horizontal="right" vertical="top" wrapText="1"/>
    </xf>
    <xf numFmtId="0" fontId="0" fillId="3" borderId="1" xfId="0" applyFill="1" applyBorder="1" applyAlignment="1">
      <alignment horizontal="center" vertical="top" wrapText="1"/>
    </xf>
    <xf numFmtId="0" fontId="0" fillId="3" borderId="1" xfId="0" applyFill="1" applyBorder="1" applyAlignment="1">
      <alignment vertical="top" wrapText="1"/>
    </xf>
    <xf numFmtId="4" fontId="0" fillId="3" borderId="1" xfId="0" applyNumberFormat="1" applyFill="1" applyBorder="1" applyAlignment="1">
      <alignment horizontal="right" vertical="top" wrapText="1"/>
    </xf>
    <xf numFmtId="10" fontId="0" fillId="3" borderId="1" xfId="0" applyNumberFormat="1" applyFill="1" applyBorder="1" applyAlignment="1">
      <alignment horizontal="center" vertical="top" wrapText="1"/>
    </xf>
    <xf numFmtId="4" fontId="2" fillId="3" borderId="1" xfId="0" applyNumberFormat="1" applyFont="1" applyFill="1" applyBorder="1" applyAlignment="1">
      <alignment vertical="top" wrapText="1"/>
    </xf>
    <xf numFmtId="10" fontId="5" fillId="0" borderId="1" xfId="0" applyNumberFormat="1" applyFont="1" applyBorder="1" applyAlignment="1">
      <alignment vertical="top"/>
    </xf>
    <xf numFmtId="0" fontId="2" fillId="5" borderId="1" xfId="0" applyFont="1" applyFill="1" applyBorder="1" applyAlignment="1">
      <alignment horizontal="center" vertical="top" wrapText="1"/>
    </xf>
    <xf numFmtId="0" fontId="0" fillId="5" borderId="1" xfId="0" applyFill="1" applyBorder="1" applyAlignment="1">
      <alignment horizontal="right" vertical="top" wrapText="1"/>
    </xf>
    <xf numFmtId="0" fontId="0" fillId="5" borderId="1" xfId="0" applyFill="1" applyBorder="1" applyAlignment="1">
      <alignment horizontal="center" vertical="top" wrapText="1"/>
    </xf>
    <xf numFmtId="0" fontId="0" fillId="5" borderId="1" xfId="0" applyFill="1" applyBorder="1" applyAlignment="1">
      <alignment vertical="top" wrapText="1"/>
    </xf>
    <xf numFmtId="4" fontId="0" fillId="5" borderId="1" xfId="0" applyNumberFormat="1" applyFill="1" applyBorder="1" applyAlignment="1">
      <alignment horizontal="right" vertical="top" wrapText="1"/>
    </xf>
    <xf numFmtId="10" fontId="0" fillId="5" borderId="1" xfId="0" applyNumberFormat="1" applyFill="1" applyBorder="1" applyAlignment="1">
      <alignment horizontal="center" vertical="top" wrapText="1"/>
    </xf>
    <xf numFmtId="4" fontId="0" fillId="5" borderId="1" xfId="0" applyNumberFormat="1" applyFill="1" applyBorder="1" applyAlignment="1">
      <alignment horizontal="right" vertical="top"/>
    </xf>
    <xf numFmtId="0" fontId="0" fillId="5" borderId="0" xfId="0" applyFill="1" applyAlignment="1">
      <alignment vertical="top"/>
    </xf>
    <xf numFmtId="164" fontId="0" fillId="5" borderId="1" xfId="0" applyNumberFormat="1" applyFill="1" applyBorder="1" applyAlignment="1">
      <alignment horizontal="right" vertical="top" wrapText="1"/>
    </xf>
    <xf numFmtId="0" fontId="4" fillId="5" borderId="1" xfId="0" applyFont="1" applyFill="1" applyBorder="1" applyAlignment="1">
      <alignment horizontal="right" vertical="top" wrapText="1"/>
    </xf>
    <xf numFmtId="0" fontId="4" fillId="5" borderId="1" xfId="0" applyFont="1" applyFill="1" applyBorder="1" applyAlignment="1">
      <alignment horizontal="center" vertical="top" wrapText="1"/>
    </xf>
    <xf numFmtId="0" fontId="4" fillId="5" borderId="1" xfId="0" applyFont="1" applyFill="1" applyBorder="1" applyAlignment="1">
      <alignment vertical="top" wrapText="1"/>
    </xf>
    <xf numFmtId="0" fontId="0" fillId="6" borderId="0" xfId="0" applyFill="1" applyAlignment="1">
      <alignment vertical="top"/>
    </xf>
    <xf numFmtId="0" fontId="6" fillId="0" borderId="0" xfId="0" applyFont="1" applyAlignment="1">
      <alignment vertical="top" wrapText="1"/>
    </xf>
    <xf numFmtId="0" fontId="6" fillId="2" borderId="0" xfId="0" applyFont="1" applyFill="1" applyAlignment="1">
      <alignment vertical="top" wrapText="1"/>
    </xf>
    <xf numFmtId="4" fontId="7" fillId="0" borderId="0" xfId="0" applyNumberFormat="1" applyFont="1" applyAlignment="1">
      <alignment vertical="top" wrapText="1"/>
    </xf>
    <xf numFmtId="4" fontId="6" fillId="0" borderId="0" xfId="0" applyNumberFormat="1" applyFont="1" applyAlignment="1">
      <alignment vertical="top" wrapText="1"/>
    </xf>
    <xf numFmtId="0" fontId="7" fillId="2" borderId="1" xfId="0" applyFont="1" applyFill="1" applyBorder="1" applyAlignment="1">
      <alignment vertical="top" wrapText="1"/>
    </xf>
    <xf numFmtId="4" fontId="8" fillId="0" borderId="1" xfId="0" applyNumberFormat="1" applyFont="1" applyBorder="1" applyAlignment="1">
      <alignment horizontal="right" vertical="top" wrapText="1"/>
    </xf>
    <xf numFmtId="4" fontId="6" fillId="0" borderId="1" xfId="0" applyNumberFormat="1" applyFont="1" applyBorder="1" applyAlignment="1">
      <alignment horizontal="right" vertical="top" wrapText="1"/>
    </xf>
    <xf numFmtId="0" fontId="6" fillId="0" borderId="1" xfId="0" applyFont="1" applyBorder="1" applyAlignment="1">
      <alignment vertical="top" wrapText="1"/>
    </xf>
    <xf numFmtId="4" fontId="6" fillId="2" borderId="1" xfId="0" applyNumberFormat="1" applyFont="1" applyFill="1" applyBorder="1" applyAlignment="1">
      <alignment horizontal="right" vertical="top" wrapText="1"/>
    </xf>
    <xf numFmtId="4" fontId="8" fillId="2" borderId="1" xfId="0" applyNumberFormat="1" applyFont="1" applyFill="1" applyBorder="1" applyAlignment="1">
      <alignment horizontal="right" vertical="top" wrapText="1"/>
    </xf>
    <xf numFmtId="0" fontId="6" fillId="2" borderId="1" xfId="0" applyFont="1" applyFill="1" applyBorder="1" applyAlignment="1">
      <alignment vertical="top" wrapText="1"/>
    </xf>
    <xf numFmtId="0" fontId="6" fillId="7" borderId="0" xfId="0" applyFont="1" applyFill="1" applyAlignment="1">
      <alignment vertical="top" wrapText="1"/>
    </xf>
    <xf numFmtId="4" fontId="8" fillId="7" borderId="1" xfId="0" applyNumberFormat="1" applyFont="1" applyFill="1" applyBorder="1" applyAlignment="1">
      <alignment horizontal="right" vertical="top" wrapText="1"/>
    </xf>
    <xf numFmtId="4" fontId="6" fillId="7" borderId="1" xfId="0" applyNumberFormat="1" applyFont="1" applyFill="1" applyBorder="1" applyAlignment="1">
      <alignment horizontal="right" vertical="top" wrapText="1"/>
    </xf>
    <xf numFmtId="0" fontId="6" fillId="7" borderId="1" xfId="0" applyFont="1" applyFill="1" applyBorder="1" applyAlignment="1">
      <alignment vertical="top" wrapText="1"/>
    </xf>
    <xf numFmtId="4" fontId="13" fillId="8" borderId="1" xfId="2" applyNumberFormat="1" applyFont="1" applyFill="1" applyBorder="1" applyAlignment="1">
      <alignment horizontal="center" vertical="top" wrapText="1"/>
    </xf>
    <xf numFmtId="4" fontId="13" fillId="2" borderId="1" xfId="2" applyNumberFormat="1" applyFont="1" applyFill="1" applyBorder="1" applyAlignment="1">
      <alignment horizontal="center" vertical="top" wrapText="1"/>
    </xf>
    <xf numFmtId="4" fontId="13" fillId="9" borderId="1" xfId="2" applyNumberFormat="1" applyFont="1" applyFill="1" applyBorder="1" applyAlignment="1">
      <alignment horizontal="center" vertical="top" wrapText="1"/>
    </xf>
    <xf numFmtId="4" fontId="13" fillId="10" borderId="1" xfId="2" applyNumberFormat="1" applyFont="1" applyFill="1" applyBorder="1" applyAlignment="1">
      <alignment horizontal="center" vertical="top" wrapText="1"/>
    </xf>
    <xf numFmtId="4" fontId="13" fillId="11" borderId="1" xfId="2" applyNumberFormat="1" applyFont="1" applyFill="1" applyBorder="1" applyAlignment="1">
      <alignment horizontal="center" vertical="top" wrapText="1"/>
    </xf>
    <xf numFmtId="14" fontId="13" fillId="9" borderId="1" xfId="2" applyNumberFormat="1" applyFont="1" applyFill="1" applyBorder="1" applyAlignment="1">
      <alignment horizontal="center" vertical="top" wrapText="1"/>
    </xf>
    <xf numFmtId="14" fontId="13" fillId="11" borderId="1" xfId="2" applyNumberFormat="1" applyFont="1" applyFill="1" applyBorder="1" applyAlignment="1">
      <alignment horizontal="center" vertical="top" wrapText="1"/>
    </xf>
    <xf numFmtId="3" fontId="13" fillId="9" borderId="1" xfId="2" applyNumberFormat="1" applyFont="1" applyFill="1" applyBorder="1" applyAlignment="1">
      <alignment horizontal="center" vertical="top" wrapText="1"/>
    </xf>
    <xf numFmtId="0" fontId="13" fillId="9" borderId="1" xfId="2" applyFont="1" applyFill="1" applyBorder="1" applyAlignment="1">
      <alignment horizontal="center" vertical="top" wrapText="1"/>
    </xf>
    <xf numFmtId="1" fontId="13" fillId="9" borderId="1" xfId="2" applyNumberFormat="1" applyFont="1" applyFill="1" applyBorder="1" applyAlignment="1">
      <alignment horizontal="center" vertical="top" wrapText="1"/>
    </xf>
    <xf numFmtId="4" fontId="6" fillId="12" borderId="1" xfId="0" applyNumberFormat="1" applyFont="1" applyFill="1" applyBorder="1" applyAlignment="1">
      <alignment horizontal="right" vertical="top" wrapText="1"/>
    </xf>
    <xf numFmtId="4" fontId="7" fillId="12" borderId="0" xfId="0" applyNumberFormat="1" applyFont="1" applyFill="1" applyAlignment="1">
      <alignment vertical="top" wrapText="1"/>
    </xf>
    <xf numFmtId="0" fontId="7" fillId="12" borderId="1" xfId="0" applyFont="1" applyFill="1" applyBorder="1" applyAlignment="1">
      <alignment vertical="top" wrapText="1"/>
    </xf>
    <xf numFmtId="0" fontId="6" fillId="12" borderId="0" xfId="0" applyFont="1" applyFill="1" applyAlignment="1">
      <alignment vertical="top" wrapText="1"/>
    </xf>
    <xf numFmtId="4" fontId="10" fillId="0" borderId="1" xfId="0" applyNumberFormat="1" applyFont="1" applyBorder="1" applyAlignment="1">
      <alignment horizontal="right" vertical="top" wrapText="1"/>
    </xf>
    <xf numFmtId="4" fontId="11" fillId="0" borderId="1" xfId="0" applyNumberFormat="1" applyFont="1" applyBorder="1" applyAlignment="1">
      <alignment horizontal="right" vertical="top" wrapText="1"/>
    </xf>
    <xf numFmtId="4" fontId="9" fillId="0" borderId="1" xfId="0" applyNumberFormat="1" applyFont="1" applyBorder="1" applyAlignment="1">
      <alignment horizontal="right" vertical="top" wrapText="1"/>
    </xf>
    <xf numFmtId="14" fontId="6" fillId="0" borderId="1" xfId="0" applyNumberFormat="1" applyFont="1" applyBorder="1" applyAlignment="1">
      <alignment vertical="top" wrapText="1"/>
    </xf>
    <xf numFmtId="4" fontId="13" fillId="13" borderId="1" xfId="2" applyNumberFormat="1" applyFont="1" applyFill="1" applyBorder="1" applyAlignment="1">
      <alignment horizontal="center" vertical="top" wrapText="1"/>
    </xf>
    <xf numFmtId="4" fontId="6" fillId="4" borderId="1" xfId="0" applyNumberFormat="1" applyFont="1" applyFill="1" applyBorder="1" applyAlignment="1">
      <alignment horizontal="right" vertical="top" wrapText="1"/>
    </xf>
    <xf numFmtId="4" fontId="7" fillId="4" borderId="1" xfId="0" applyNumberFormat="1" applyFont="1" applyFill="1" applyBorder="1" applyAlignment="1">
      <alignment vertical="top" wrapText="1"/>
    </xf>
    <xf numFmtId="4" fontId="6" fillId="4" borderId="0" xfId="0" applyNumberFormat="1" applyFont="1" applyFill="1" applyAlignment="1">
      <alignment vertical="top" wrapText="1"/>
    </xf>
    <xf numFmtId="0" fontId="6" fillId="4" borderId="0" xfId="0" applyFont="1" applyFill="1" applyAlignment="1">
      <alignment vertical="top" wrapText="1"/>
    </xf>
    <xf numFmtId="49" fontId="0" fillId="0" borderId="0" xfId="0" applyNumberFormat="1" applyAlignment="1">
      <alignment vertical="top"/>
    </xf>
    <xf numFmtId="0" fontId="2" fillId="0" borderId="1" xfId="0" applyFont="1" applyBorder="1" applyAlignment="1">
      <alignment vertical="top" wrapText="1"/>
    </xf>
    <xf numFmtId="0" fontId="0" fillId="0" borderId="1" xfId="0" applyBorder="1" applyAlignment="1">
      <alignment vertical="top"/>
    </xf>
    <xf numFmtId="4" fontId="0" fillId="0" borderId="1" xfId="0" applyNumberFormat="1" applyBorder="1" applyAlignment="1">
      <alignment vertical="top"/>
    </xf>
    <xf numFmtId="4" fontId="2" fillId="0" borderId="1" xfId="0" applyNumberFormat="1" applyFont="1" applyBorder="1" applyAlignment="1">
      <alignment vertical="top"/>
    </xf>
    <xf numFmtId="0" fontId="2" fillId="0" borderId="1" xfId="0" applyFont="1" applyBorder="1" applyAlignment="1">
      <alignment vertical="top"/>
    </xf>
    <xf numFmtId="10" fontId="2" fillId="0" borderId="1" xfId="0" applyNumberFormat="1" applyFont="1" applyBorder="1" applyAlignment="1">
      <alignment vertical="top" wrapText="1"/>
    </xf>
    <xf numFmtId="4" fontId="7" fillId="2" borderId="1" xfId="0" applyNumberFormat="1" applyFont="1" applyFill="1" applyBorder="1" applyAlignment="1">
      <alignment vertical="top" wrapText="1"/>
    </xf>
    <xf numFmtId="0" fontId="14" fillId="0" borderId="1" xfId="0" applyFont="1" applyBorder="1" applyAlignment="1">
      <alignment vertical="top" wrapText="1"/>
    </xf>
    <xf numFmtId="1" fontId="2" fillId="0" borderId="1" xfId="0" applyNumberFormat="1" applyFont="1" applyBorder="1" applyAlignment="1">
      <alignment vertical="top"/>
    </xf>
    <xf numFmtId="0" fontId="15" fillId="0" borderId="0" xfId="0" applyFont="1" applyAlignment="1">
      <alignment vertical="top"/>
    </xf>
    <xf numFmtId="0" fontId="15" fillId="2" borderId="0" xfId="0" applyFont="1" applyFill="1" applyAlignment="1">
      <alignment vertical="top"/>
    </xf>
    <xf numFmtId="4" fontId="15" fillId="2" borderId="0" xfId="0" applyNumberFormat="1" applyFont="1" applyFill="1" applyAlignment="1">
      <alignment vertical="top"/>
    </xf>
    <xf numFmtId="0" fontId="2" fillId="0" borderId="0" xfId="0" applyFont="1" applyAlignment="1">
      <alignment vertical="top"/>
    </xf>
    <xf numFmtId="0" fontId="16" fillId="0" borderId="0" xfId="0" applyFont="1" applyAlignment="1">
      <alignment vertical="top"/>
    </xf>
    <xf numFmtId="0" fontId="14" fillId="12" borderId="1" xfId="0" applyFont="1" applyFill="1" applyBorder="1" applyAlignment="1">
      <alignment vertical="top" wrapText="1"/>
    </xf>
    <xf numFmtId="10" fontId="14" fillId="12" borderId="1" xfId="1" applyNumberFormat="1" applyFont="1" applyFill="1" applyBorder="1" applyAlignment="1">
      <alignment vertical="top"/>
    </xf>
    <xf numFmtId="10" fontId="14" fillId="12" borderId="1" xfId="0" applyNumberFormat="1" applyFont="1" applyFill="1" applyBorder="1" applyAlignment="1">
      <alignment vertical="top"/>
    </xf>
    <xf numFmtId="4" fontId="5" fillId="0" borderId="1" xfId="0" applyNumberFormat="1" applyFont="1" applyBorder="1" applyAlignment="1">
      <alignment vertical="top"/>
    </xf>
    <xf numFmtId="4" fontId="5" fillId="0" borderId="0" xfId="0" applyNumberFormat="1" applyFont="1" applyAlignment="1">
      <alignment vertical="top"/>
    </xf>
    <xf numFmtId="2" fontId="2" fillId="0" borderId="0" xfId="0" applyNumberFormat="1" applyFont="1" applyAlignment="1">
      <alignment vertical="top"/>
    </xf>
    <xf numFmtId="2" fontId="2" fillId="2" borderId="0" xfId="0" applyNumberFormat="1" applyFont="1" applyFill="1" applyAlignment="1">
      <alignment vertical="top"/>
    </xf>
    <xf numFmtId="0" fontId="0" fillId="0" borderId="0" xfId="0" applyAlignment="1">
      <alignment vertical="top" wrapText="1"/>
    </xf>
    <xf numFmtId="0" fontId="2" fillId="0" borderId="0" xfId="0" applyFont="1" applyAlignment="1">
      <alignment vertical="top" wrapText="1"/>
    </xf>
    <xf numFmtId="0" fontId="2" fillId="0" borderId="0" xfId="0" applyFont="1" applyAlignment="1">
      <alignment horizontal="center" vertical="top" wrapText="1"/>
    </xf>
    <xf numFmtId="0" fontId="15" fillId="0" borderId="0" xfId="0" applyFont="1" applyAlignment="1">
      <alignment vertical="top" wrapText="1"/>
    </xf>
    <xf numFmtId="4" fontId="0" fillId="0" borderId="1" xfId="0" applyNumberFormat="1" applyBorder="1" applyAlignment="1">
      <alignment vertical="top" wrapText="1"/>
    </xf>
    <xf numFmtId="3" fontId="0" fillId="0" borderId="3" xfId="0" applyNumberFormat="1" applyBorder="1" applyAlignment="1">
      <alignment vertical="top" wrapText="1"/>
    </xf>
    <xf numFmtId="0" fontId="0" fillId="0" borderId="3" xfId="0" applyBorder="1" applyAlignment="1">
      <alignment vertical="top"/>
    </xf>
    <xf numFmtId="49" fontId="0" fillId="0" borderId="2" xfId="0" applyNumberFormat="1" applyBorder="1" applyAlignment="1">
      <alignment vertical="top"/>
    </xf>
    <xf numFmtId="0" fontId="2" fillId="14" borderId="1" xfId="0" applyFont="1" applyFill="1" applyBorder="1" applyAlignment="1">
      <alignment vertical="top"/>
    </xf>
    <xf numFmtId="4" fontId="2" fillId="14" borderId="1" xfId="0" applyNumberFormat="1" applyFont="1" applyFill="1" applyBorder="1" applyAlignment="1">
      <alignment vertical="top"/>
    </xf>
    <xf numFmtId="0" fontId="3" fillId="5" borderId="1" xfId="0" applyFont="1" applyFill="1" applyBorder="1" applyAlignment="1">
      <alignment horizontal="center" vertical="top" wrapText="1"/>
    </xf>
    <xf numFmtId="4" fontId="0" fillId="14" borderId="1" xfId="0" applyNumberFormat="1" applyFill="1" applyBorder="1" applyAlignment="1">
      <alignment horizontal="right" vertical="top" wrapText="1"/>
    </xf>
    <xf numFmtId="0" fontId="2" fillId="14" borderId="1" xfId="0" applyFont="1" applyFill="1" applyBorder="1" applyAlignment="1">
      <alignment horizontal="center" vertical="top" wrapText="1"/>
    </xf>
    <xf numFmtId="0" fontId="0" fillId="14" borderId="1" xfId="0" applyFill="1" applyBorder="1" applyAlignment="1">
      <alignment horizontal="right" vertical="top" wrapText="1"/>
    </xf>
    <xf numFmtId="0" fontId="0" fillId="14" borderId="1" xfId="0" applyFill="1" applyBorder="1" applyAlignment="1">
      <alignment horizontal="center" vertical="top" wrapText="1"/>
    </xf>
    <xf numFmtId="0" fontId="0" fillId="14" borderId="1" xfId="0" applyFill="1" applyBorder="1" applyAlignment="1">
      <alignment vertical="top" wrapText="1"/>
    </xf>
    <xf numFmtId="10" fontId="0" fillId="14" borderId="1" xfId="0" applyNumberFormat="1" applyFill="1" applyBorder="1" applyAlignment="1">
      <alignment horizontal="center" vertical="top" wrapText="1"/>
    </xf>
    <xf numFmtId="4" fontId="0" fillId="14" borderId="1" xfId="0" applyNumberFormat="1" applyFill="1" applyBorder="1" applyAlignment="1">
      <alignment horizontal="right" vertical="top"/>
    </xf>
    <xf numFmtId="49" fontId="2" fillId="4" borderId="1" xfId="0" applyNumberFormat="1" applyFont="1" applyFill="1" applyBorder="1" applyAlignment="1">
      <alignment vertical="top" wrapText="1"/>
    </xf>
    <xf numFmtId="39" fontId="0" fillId="5" borderId="1" xfId="0" applyNumberFormat="1" applyFill="1" applyBorder="1" applyAlignment="1">
      <alignment horizontal="right" vertical="top" wrapText="1"/>
    </xf>
    <xf numFmtId="0" fontId="0" fillId="6" borderId="1" xfId="0" applyFill="1" applyBorder="1" applyAlignment="1">
      <alignment vertical="top"/>
    </xf>
    <xf numFmtId="4" fontId="0" fillId="6" borderId="1" xfId="0" applyNumberFormat="1" applyFill="1" applyBorder="1" applyAlignment="1">
      <alignment vertical="top"/>
    </xf>
    <xf numFmtId="4" fontId="0" fillId="5" borderId="1" xfId="0" applyNumberFormat="1" applyFill="1" applyBorder="1" applyAlignment="1">
      <alignment vertical="top"/>
    </xf>
    <xf numFmtId="0" fontId="18" fillId="0" borderId="0" xfId="0" applyFont="1" applyAlignment="1">
      <alignment horizontal="left"/>
    </xf>
    <xf numFmtId="0" fontId="18" fillId="0" borderId="0" xfId="0" applyFont="1" applyAlignment="1">
      <alignment vertical="center"/>
    </xf>
    <xf numFmtId="0" fontId="2" fillId="14" borderId="1" xfId="0" applyFont="1" applyFill="1" applyBorder="1" applyAlignment="1">
      <alignment horizontal="center" vertical="top"/>
    </xf>
    <xf numFmtId="0" fontId="2" fillId="0" borderId="1" xfId="0" applyFont="1" applyBorder="1" applyAlignment="1">
      <alignment horizontal="center" vertical="top" wrapText="1"/>
    </xf>
    <xf numFmtId="0" fontId="2" fillId="3" borderId="1" xfId="0" applyFont="1" applyFill="1" applyBorder="1" applyAlignment="1">
      <alignment horizontal="center" vertical="top" wrapText="1"/>
    </xf>
    <xf numFmtId="0" fontId="18" fillId="0" borderId="0" xfId="0" applyFont="1" applyAlignment="1">
      <alignment horizontal="left" vertical="center" wrapText="1"/>
    </xf>
    <xf numFmtId="49" fontId="2" fillId="4" borderId="1" xfId="0" applyNumberFormat="1" applyFont="1" applyFill="1" applyBorder="1" applyAlignment="1">
      <alignment horizontal="center" vertical="top" wrapText="1"/>
    </xf>
    <xf numFmtId="4" fontId="2" fillId="0" borderId="1" xfId="0" applyNumberFormat="1" applyFont="1" applyBorder="1" applyAlignment="1">
      <alignment horizontal="right" vertical="top"/>
    </xf>
  </cellXfs>
  <cellStyles count="4">
    <cellStyle name="Normal" xfId="0" builtinId="0"/>
    <cellStyle name="Normal 2" xfId="2" xr:uid="{D648653C-D735-4B34-BF2E-1D4860D265FE}"/>
    <cellStyle name="Normal 26 2" xfId="3" xr:uid="{F58261AB-8184-4FBA-863D-396DFA678E96}"/>
    <cellStyle name="Procent" xfId="1" builtinId="5"/>
  </cellStyles>
  <dxfs count="0"/>
  <tableStyles count="0" defaultTableStyle="TableStyleMedium2" defaultPivotStyle="PivotStyleLight16"/>
  <colors>
    <mruColors>
      <color rgb="FF00FFFF"/>
      <color rgb="FFFF66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98"/>
  <sheetViews>
    <sheetView tabSelected="1" zoomScale="70" zoomScaleNormal="70" workbookViewId="0">
      <pane ySplit="6" topLeftCell="A7" activePane="bottomLeft" state="frozen"/>
      <selection pane="bottomLeft" activeCell="I5" sqref="A5:XFD5"/>
    </sheetView>
  </sheetViews>
  <sheetFormatPr defaultColWidth="8.88671875" defaultRowHeight="14.4" x14ac:dyDescent="0.3"/>
  <cols>
    <col min="1" max="5" width="8.88671875" style="1"/>
    <col min="6" max="6" width="25.109375" style="1" customWidth="1"/>
    <col min="7" max="7" width="22.21875" style="1" customWidth="1"/>
    <col min="8" max="8" width="12" style="1" customWidth="1"/>
    <col min="9" max="9" width="19.109375" style="9" customWidth="1"/>
    <col min="10" max="10" width="19.5546875" style="9" customWidth="1"/>
    <col min="11" max="12" width="11.88671875" style="1" customWidth="1"/>
    <col min="13" max="13" width="24" style="10" customWidth="1"/>
    <col min="14" max="14" width="23.44140625" style="4" customWidth="1"/>
    <col min="15" max="15" width="22.109375" style="1" customWidth="1"/>
    <col min="16" max="16" width="26.5546875" style="43" customWidth="1"/>
    <col min="17" max="17" width="20.33203125" style="1" customWidth="1"/>
    <col min="18" max="16384" width="8.88671875" style="1"/>
  </cols>
  <sheetData>
    <row r="1" spans="1:17" x14ac:dyDescent="0.3">
      <c r="F1" s="104"/>
      <c r="G1" s="104"/>
      <c r="H1" s="104"/>
      <c r="I1" s="95" t="s">
        <v>313</v>
      </c>
      <c r="J1" s="104"/>
      <c r="M1" s="1"/>
      <c r="P1" s="1"/>
    </row>
    <row r="2" spans="1:17" x14ac:dyDescent="0.3">
      <c r="F2" s="127" t="s">
        <v>311</v>
      </c>
      <c r="G2" s="104"/>
      <c r="H2" s="104"/>
      <c r="I2" s="104"/>
      <c r="J2" s="104"/>
      <c r="M2" s="1"/>
      <c r="P2" s="1"/>
    </row>
    <row r="3" spans="1:17" x14ac:dyDescent="0.3">
      <c r="F3" s="128" t="s">
        <v>312</v>
      </c>
      <c r="G3" s="104"/>
      <c r="H3" s="104"/>
      <c r="I3" s="104"/>
      <c r="J3" s="104"/>
      <c r="M3" s="1"/>
      <c r="P3" s="1"/>
    </row>
    <row r="4" spans="1:17" ht="93" customHeight="1" x14ac:dyDescent="0.3">
      <c r="F4" s="132" t="s">
        <v>314</v>
      </c>
      <c r="G4" s="132"/>
      <c r="H4" s="132"/>
      <c r="I4" s="132"/>
      <c r="J4" s="132"/>
      <c r="K4" s="132"/>
      <c r="L4" s="132"/>
      <c r="M4" s="1"/>
      <c r="P4" s="1"/>
    </row>
    <row r="5" spans="1:17" ht="57.6" customHeight="1" x14ac:dyDescent="0.3">
      <c r="A5" s="130" t="s">
        <v>0</v>
      </c>
      <c r="B5" s="130" t="s">
        <v>1</v>
      </c>
      <c r="C5" s="130" t="s">
        <v>2</v>
      </c>
      <c r="D5" s="130" t="s">
        <v>3</v>
      </c>
      <c r="E5" s="130" t="s">
        <v>4</v>
      </c>
      <c r="F5" s="130" t="s">
        <v>5</v>
      </c>
      <c r="G5" s="130" t="s">
        <v>6</v>
      </c>
      <c r="H5" s="130" t="s">
        <v>7</v>
      </c>
      <c r="I5" s="11" t="s">
        <v>8</v>
      </c>
      <c r="J5" s="11" t="s">
        <v>200</v>
      </c>
      <c r="K5" s="130" t="s">
        <v>201</v>
      </c>
      <c r="L5" s="130" t="s">
        <v>202</v>
      </c>
      <c r="M5" s="12" t="s">
        <v>10</v>
      </c>
      <c r="N5" s="24" t="s">
        <v>184</v>
      </c>
      <c r="O5" s="24" t="s">
        <v>185</v>
      </c>
      <c r="P5" s="24" t="s">
        <v>275</v>
      </c>
      <c r="Q5" s="24" t="s">
        <v>199</v>
      </c>
    </row>
    <row r="6" spans="1:17" ht="49.2" customHeight="1" x14ac:dyDescent="0.3">
      <c r="A6" s="130"/>
      <c r="B6" s="130"/>
      <c r="C6" s="130"/>
      <c r="D6" s="130"/>
      <c r="E6" s="130"/>
      <c r="F6" s="130"/>
      <c r="G6" s="130"/>
      <c r="H6" s="130"/>
      <c r="I6" s="11" t="s">
        <v>9</v>
      </c>
      <c r="J6" s="11" t="s">
        <v>9</v>
      </c>
      <c r="K6" s="130"/>
      <c r="L6" s="130"/>
      <c r="M6" s="12" t="s">
        <v>11</v>
      </c>
      <c r="N6" s="6"/>
      <c r="O6" s="84"/>
      <c r="P6" s="124"/>
      <c r="Q6" s="84"/>
    </row>
    <row r="7" spans="1:17" ht="86.4" hidden="1" x14ac:dyDescent="0.3">
      <c r="A7" s="31">
        <v>1</v>
      </c>
      <c r="B7" s="32">
        <v>124630</v>
      </c>
      <c r="C7" s="33">
        <v>2</v>
      </c>
      <c r="D7" s="33" t="s">
        <v>12</v>
      </c>
      <c r="E7" s="34" t="s">
        <v>13</v>
      </c>
      <c r="F7" s="34" t="s">
        <v>14</v>
      </c>
      <c r="G7" s="34" t="s">
        <v>15</v>
      </c>
      <c r="H7" s="32" t="s">
        <v>16</v>
      </c>
      <c r="I7" s="123">
        <v>15554939.310000001</v>
      </c>
      <c r="J7" s="35">
        <v>13852151.48</v>
      </c>
      <c r="K7" s="36">
        <f>M7/J7</f>
        <v>0.85476403987462024</v>
      </c>
      <c r="L7" s="36">
        <f>M7/P7</f>
        <v>0.85476403987462024</v>
      </c>
      <c r="M7" s="39">
        <v>11840320.960000001</v>
      </c>
      <c r="N7" s="37">
        <f>P7-M7</f>
        <v>2011830.5199999996</v>
      </c>
      <c r="O7" s="37">
        <f>N7/4.9753</f>
        <v>404363.66048278491</v>
      </c>
      <c r="P7" s="125">
        <v>13852151.48</v>
      </c>
      <c r="Q7" s="85">
        <f>P7-J7</f>
        <v>0</v>
      </c>
    </row>
    <row r="8" spans="1:17" hidden="1" x14ac:dyDescent="0.3">
      <c r="A8" s="131" t="s">
        <v>172</v>
      </c>
      <c r="B8" s="131"/>
      <c r="C8" s="131"/>
      <c r="D8" s="15"/>
      <c r="E8" s="16"/>
      <c r="F8" s="16"/>
      <c r="G8" s="16"/>
      <c r="H8" s="17"/>
      <c r="I8" s="18"/>
      <c r="J8" s="19"/>
      <c r="K8" s="20"/>
      <c r="L8" s="20"/>
      <c r="M8" s="21">
        <f>SUBTOTAL(9,M7)</f>
        <v>11840320.960000001</v>
      </c>
      <c r="N8" s="21">
        <f t="shared" ref="N8:O8" si="0">SUBTOTAL(9,N7)</f>
        <v>2011830.5199999996</v>
      </c>
      <c r="O8" s="21">
        <f t="shared" si="0"/>
        <v>404363.66048278491</v>
      </c>
      <c r="P8" s="125"/>
      <c r="Q8" s="85">
        <f t="shared" ref="Q8:Q71" si="1">P8-J8</f>
        <v>0</v>
      </c>
    </row>
    <row r="9" spans="1:17" s="38" customFormat="1" ht="57.6" hidden="1" x14ac:dyDescent="0.3">
      <c r="A9" s="31">
        <v>2</v>
      </c>
      <c r="B9" s="32">
        <v>120681</v>
      </c>
      <c r="C9" s="33">
        <v>3</v>
      </c>
      <c r="D9" s="33" t="s">
        <v>124</v>
      </c>
      <c r="E9" s="34" t="s">
        <v>114</v>
      </c>
      <c r="F9" s="34" t="s">
        <v>125</v>
      </c>
      <c r="G9" s="34" t="s">
        <v>122</v>
      </c>
      <c r="H9" s="32" t="s">
        <v>126</v>
      </c>
      <c r="I9" s="35">
        <v>3772524.91</v>
      </c>
      <c r="J9" s="35">
        <v>3499349.72</v>
      </c>
      <c r="K9" s="36">
        <f>M9/J9</f>
        <v>0.73864542752817508</v>
      </c>
      <c r="L9" s="36">
        <f>M9/P9</f>
        <v>0.73864542752817508</v>
      </c>
      <c r="M9" s="39">
        <v>2584778.67</v>
      </c>
      <c r="N9" s="37">
        <f>P9-M9</f>
        <v>914571.05000000028</v>
      </c>
      <c r="O9" s="37">
        <f t="shared" ref="O9:O71" si="2">N9/4.9753</f>
        <v>183822.29212308812</v>
      </c>
      <c r="P9" s="125">
        <v>3499349.72</v>
      </c>
      <c r="Q9" s="85">
        <f t="shared" si="1"/>
        <v>0</v>
      </c>
    </row>
    <row r="10" spans="1:17" hidden="1" x14ac:dyDescent="0.3">
      <c r="A10" s="131" t="s">
        <v>179</v>
      </c>
      <c r="B10" s="131"/>
      <c r="C10" s="131"/>
      <c r="D10" s="15"/>
      <c r="E10" s="16"/>
      <c r="F10" s="16"/>
      <c r="G10" s="16"/>
      <c r="H10" s="17"/>
      <c r="I10" s="19"/>
      <c r="J10" s="19"/>
      <c r="K10" s="20"/>
      <c r="L10" s="20"/>
      <c r="M10" s="19">
        <f>SUBTOTAL(9,M9)</f>
        <v>2584778.67</v>
      </c>
      <c r="N10" s="19">
        <f t="shared" ref="N10:O10" si="3">SUBTOTAL(9,N9)</f>
        <v>914571.05000000028</v>
      </c>
      <c r="O10" s="19">
        <f t="shared" si="3"/>
        <v>183822.29212308812</v>
      </c>
      <c r="P10" s="125"/>
      <c r="Q10" s="85">
        <f t="shared" si="1"/>
        <v>0</v>
      </c>
    </row>
    <row r="11" spans="1:17" s="38" customFormat="1" ht="72" hidden="1" x14ac:dyDescent="0.3">
      <c r="A11" s="31">
        <v>3</v>
      </c>
      <c r="B11" s="32">
        <v>137366</v>
      </c>
      <c r="C11" s="33">
        <v>3</v>
      </c>
      <c r="D11" s="33" t="s">
        <v>38</v>
      </c>
      <c r="E11" s="34" t="s">
        <v>26</v>
      </c>
      <c r="F11" s="34" t="s">
        <v>39</v>
      </c>
      <c r="G11" s="34" t="s">
        <v>40</v>
      </c>
      <c r="H11" s="32" t="s">
        <v>41</v>
      </c>
      <c r="I11" s="35">
        <v>11732514.6</v>
      </c>
      <c r="J11" s="35">
        <v>11563911.439999999</v>
      </c>
      <c r="K11" s="36">
        <f t="shared" ref="K11:K21" si="4">M11/J11</f>
        <v>0.61342825278502833</v>
      </c>
      <c r="L11" s="36">
        <f t="shared" ref="L11:L21" si="5">M11/P11</f>
        <v>0.51823077358023029</v>
      </c>
      <c r="M11" s="35">
        <v>7093629.9900000002</v>
      </c>
      <c r="N11" s="37">
        <f>P11-M11</f>
        <v>6594538.1999999993</v>
      </c>
      <c r="O11" s="37">
        <f t="shared" si="2"/>
        <v>1325455.3896247461</v>
      </c>
      <c r="P11" s="125">
        <v>13688168.189999999</v>
      </c>
      <c r="Q11" s="85">
        <f t="shared" si="1"/>
        <v>2124256.75</v>
      </c>
    </row>
    <row r="12" spans="1:17" ht="43.2" hidden="1" x14ac:dyDescent="0.3">
      <c r="A12" s="31">
        <v>4</v>
      </c>
      <c r="B12" s="32">
        <v>111504</v>
      </c>
      <c r="C12" s="33">
        <v>3</v>
      </c>
      <c r="D12" s="33" t="s">
        <v>38</v>
      </c>
      <c r="E12" s="34" t="s">
        <v>42</v>
      </c>
      <c r="F12" s="34" t="s">
        <v>43</v>
      </c>
      <c r="G12" s="34" t="s">
        <v>44</v>
      </c>
      <c r="H12" s="32" t="s">
        <v>45</v>
      </c>
      <c r="I12" s="35">
        <v>41230665.979999997</v>
      </c>
      <c r="J12" s="35">
        <v>32188937.5</v>
      </c>
      <c r="K12" s="36">
        <f t="shared" si="4"/>
        <v>0.56004114053158793</v>
      </c>
      <c r="L12" s="36">
        <f t="shared" si="5"/>
        <v>0.56004114662108373</v>
      </c>
      <c r="M12" s="35">
        <v>18027129.27</v>
      </c>
      <c r="N12" s="37">
        <f t="shared" ref="N12:N21" si="6">P12-M12</f>
        <v>14161807.879999999</v>
      </c>
      <c r="O12" s="37">
        <f t="shared" si="2"/>
        <v>2846422.9051514482</v>
      </c>
      <c r="P12" s="125">
        <v>32188937.149999999</v>
      </c>
      <c r="Q12" s="85">
        <f t="shared" si="1"/>
        <v>-0.35000000149011612</v>
      </c>
    </row>
    <row r="13" spans="1:17" ht="57.6" hidden="1" x14ac:dyDescent="0.3">
      <c r="A13" s="31">
        <v>5</v>
      </c>
      <c r="B13" s="32">
        <v>137375</v>
      </c>
      <c r="C13" s="33">
        <v>3</v>
      </c>
      <c r="D13" s="33" t="s">
        <v>38</v>
      </c>
      <c r="E13" s="34" t="s">
        <v>42</v>
      </c>
      <c r="F13" s="34" t="s">
        <v>86</v>
      </c>
      <c r="G13" s="34" t="s">
        <v>44</v>
      </c>
      <c r="H13" s="32" t="s">
        <v>87</v>
      </c>
      <c r="I13" s="35">
        <v>6170380.96</v>
      </c>
      <c r="J13" s="35">
        <v>4645135.1100000003</v>
      </c>
      <c r="K13" s="36">
        <f t="shared" si="4"/>
        <v>0.59182906737883878</v>
      </c>
      <c r="L13" s="36">
        <f t="shared" si="5"/>
        <v>0.59182906737883878</v>
      </c>
      <c r="M13" s="35">
        <v>2749125.98</v>
      </c>
      <c r="N13" s="37">
        <f t="shared" si="6"/>
        <v>1896009.1300000004</v>
      </c>
      <c r="O13" s="37">
        <f t="shared" si="2"/>
        <v>381084.38285128545</v>
      </c>
      <c r="P13" s="125">
        <v>4645135.1100000003</v>
      </c>
      <c r="Q13" s="85">
        <f t="shared" si="1"/>
        <v>0</v>
      </c>
    </row>
    <row r="14" spans="1:17" s="38" customFormat="1" ht="57.6" hidden="1" x14ac:dyDescent="0.3">
      <c r="A14" s="114">
        <v>6</v>
      </c>
      <c r="B14" s="40">
        <v>118230</v>
      </c>
      <c r="C14" s="41">
        <v>3</v>
      </c>
      <c r="D14" s="41" t="s">
        <v>38</v>
      </c>
      <c r="E14" s="42" t="s">
        <v>114</v>
      </c>
      <c r="F14" s="42" t="s">
        <v>115</v>
      </c>
      <c r="G14" s="42" t="s">
        <v>116</v>
      </c>
      <c r="H14" s="40" t="s">
        <v>117</v>
      </c>
      <c r="I14" s="35">
        <v>8514973.6199999992</v>
      </c>
      <c r="J14" s="35">
        <v>6478760.0099999998</v>
      </c>
      <c r="K14" s="36">
        <f t="shared" si="4"/>
        <v>0.38325704396635002</v>
      </c>
      <c r="L14" s="36">
        <f t="shared" si="5"/>
        <v>0.38325704396635002</v>
      </c>
      <c r="M14" s="35">
        <v>2483030.41</v>
      </c>
      <c r="N14" s="37">
        <f t="shared" si="6"/>
        <v>3995729.5999999996</v>
      </c>
      <c r="O14" s="37">
        <f t="shared" si="2"/>
        <v>803113.29970052047</v>
      </c>
      <c r="P14" s="125">
        <v>6478760.0099999998</v>
      </c>
      <c r="Q14" s="85">
        <f t="shared" si="1"/>
        <v>0</v>
      </c>
    </row>
    <row r="15" spans="1:17" s="38" customFormat="1" ht="72" hidden="1" x14ac:dyDescent="0.3">
      <c r="A15" s="31">
        <v>7</v>
      </c>
      <c r="B15" s="32">
        <v>118617</v>
      </c>
      <c r="C15" s="33">
        <v>3</v>
      </c>
      <c r="D15" s="33" t="s">
        <v>38</v>
      </c>
      <c r="E15" s="34" t="s">
        <v>114</v>
      </c>
      <c r="F15" s="34" t="s">
        <v>118</v>
      </c>
      <c r="G15" s="34" t="s">
        <v>119</v>
      </c>
      <c r="H15" s="32" t="s">
        <v>120</v>
      </c>
      <c r="I15" s="35">
        <v>7318755.6299999999</v>
      </c>
      <c r="J15" s="35">
        <v>5478747.7999999998</v>
      </c>
      <c r="K15" s="36">
        <f t="shared" si="4"/>
        <v>0.84228816482481628</v>
      </c>
      <c r="L15" s="36">
        <f t="shared" si="5"/>
        <v>0.84228816482481628</v>
      </c>
      <c r="M15" s="35">
        <v>4614684.43</v>
      </c>
      <c r="N15" s="37">
        <f t="shared" si="6"/>
        <v>864063.37000000011</v>
      </c>
      <c r="O15" s="37">
        <f t="shared" si="2"/>
        <v>173670.60679758008</v>
      </c>
      <c r="P15" s="125">
        <v>5478747.7999999998</v>
      </c>
      <c r="Q15" s="85">
        <f t="shared" si="1"/>
        <v>0</v>
      </c>
    </row>
    <row r="16" spans="1:17" ht="43.2" hidden="1" x14ac:dyDescent="0.3">
      <c r="A16" s="31">
        <v>8</v>
      </c>
      <c r="B16" s="32">
        <v>118643</v>
      </c>
      <c r="C16" s="33">
        <v>3</v>
      </c>
      <c r="D16" s="33" t="s">
        <v>38</v>
      </c>
      <c r="E16" s="34" t="s">
        <v>114</v>
      </c>
      <c r="F16" s="34" t="s">
        <v>121</v>
      </c>
      <c r="G16" s="34" t="s">
        <v>122</v>
      </c>
      <c r="H16" s="32" t="s">
        <v>123</v>
      </c>
      <c r="I16" s="35">
        <v>26522553.969999999</v>
      </c>
      <c r="J16" s="35">
        <v>16594028.800000001</v>
      </c>
      <c r="K16" s="36">
        <f t="shared" si="4"/>
        <v>0.93429997120409958</v>
      </c>
      <c r="L16" s="36">
        <f t="shared" si="5"/>
        <v>0.93429997120409958</v>
      </c>
      <c r="M16" s="35">
        <v>15503800.629999999</v>
      </c>
      <c r="N16" s="37">
        <f t="shared" si="6"/>
        <v>1090228.1700000018</v>
      </c>
      <c r="O16" s="37">
        <f t="shared" si="2"/>
        <v>219128.12694711913</v>
      </c>
      <c r="P16" s="125">
        <v>16594028.800000001</v>
      </c>
      <c r="Q16" s="85">
        <f t="shared" si="1"/>
        <v>0</v>
      </c>
    </row>
    <row r="17" spans="1:17" s="38" customFormat="1" ht="57.6" hidden="1" x14ac:dyDescent="0.3">
      <c r="A17" s="31">
        <v>9</v>
      </c>
      <c r="B17" s="32">
        <v>138639</v>
      </c>
      <c r="C17" s="33">
        <v>3</v>
      </c>
      <c r="D17" s="33" t="s">
        <v>38</v>
      </c>
      <c r="E17" s="34" t="s">
        <v>114</v>
      </c>
      <c r="F17" s="34" t="s">
        <v>153</v>
      </c>
      <c r="G17" s="34" t="s">
        <v>119</v>
      </c>
      <c r="H17" s="32" t="s">
        <v>154</v>
      </c>
      <c r="I17" s="35">
        <v>6797594.9800000004</v>
      </c>
      <c r="J17" s="35">
        <v>3350115.68</v>
      </c>
      <c r="K17" s="36">
        <f t="shared" si="4"/>
        <v>0.39460289323501802</v>
      </c>
      <c r="L17" s="36">
        <f t="shared" si="5"/>
        <v>0.39460289323501802</v>
      </c>
      <c r="M17" s="35">
        <v>1321965.3399999999</v>
      </c>
      <c r="N17" s="37">
        <f t="shared" si="6"/>
        <v>2028150.3400000003</v>
      </c>
      <c r="O17" s="37">
        <f t="shared" si="2"/>
        <v>407643.82851285359</v>
      </c>
      <c r="P17" s="125">
        <v>3350115.68</v>
      </c>
      <c r="Q17" s="85">
        <f t="shared" si="1"/>
        <v>0</v>
      </c>
    </row>
    <row r="18" spans="1:17" s="38" customFormat="1" ht="72" hidden="1" x14ac:dyDescent="0.3">
      <c r="A18" s="31">
        <v>10</v>
      </c>
      <c r="B18" s="32">
        <v>117625</v>
      </c>
      <c r="C18" s="33">
        <v>3</v>
      </c>
      <c r="D18" s="33" t="s">
        <v>38</v>
      </c>
      <c r="E18" s="34" t="s">
        <v>155</v>
      </c>
      <c r="F18" s="34" t="s">
        <v>156</v>
      </c>
      <c r="G18" s="34" t="s">
        <v>157</v>
      </c>
      <c r="H18" s="32" t="s">
        <v>158</v>
      </c>
      <c r="I18" s="35">
        <v>14780994.539999999</v>
      </c>
      <c r="J18" s="35">
        <v>13351446.35</v>
      </c>
      <c r="K18" s="36">
        <f t="shared" si="4"/>
        <v>0.97384655558309619</v>
      </c>
      <c r="L18" s="36">
        <f t="shared" si="5"/>
        <v>0.9550953647358349</v>
      </c>
      <c r="M18" s="35">
        <v>13002260.040000001</v>
      </c>
      <c r="N18" s="37">
        <f t="shared" si="6"/>
        <v>611312.50999999978</v>
      </c>
      <c r="O18" s="37">
        <f t="shared" si="2"/>
        <v>122869.47721745419</v>
      </c>
      <c r="P18" s="125">
        <v>13613572.550000001</v>
      </c>
      <c r="Q18" s="85">
        <f t="shared" si="1"/>
        <v>262126.20000000112</v>
      </c>
    </row>
    <row r="19" spans="1:17" s="38" customFormat="1" ht="43.2" hidden="1" x14ac:dyDescent="0.3">
      <c r="A19" s="31">
        <v>11</v>
      </c>
      <c r="B19" s="32">
        <v>124517</v>
      </c>
      <c r="C19" s="33">
        <v>3</v>
      </c>
      <c r="D19" s="33" t="s">
        <v>38</v>
      </c>
      <c r="E19" s="34" t="s">
        <v>155</v>
      </c>
      <c r="F19" s="34" t="s">
        <v>162</v>
      </c>
      <c r="G19" s="34" t="s">
        <v>163</v>
      </c>
      <c r="H19" s="32" t="s">
        <v>113</v>
      </c>
      <c r="I19" s="35">
        <v>16909109.27</v>
      </c>
      <c r="J19" s="35">
        <v>13405927</v>
      </c>
      <c r="K19" s="36">
        <f t="shared" si="4"/>
        <v>0.60798374703964897</v>
      </c>
      <c r="L19" s="36">
        <f t="shared" si="5"/>
        <v>0.60798374703964897</v>
      </c>
      <c r="M19" s="35">
        <v>8150585.7300000004</v>
      </c>
      <c r="N19" s="37">
        <f t="shared" si="6"/>
        <v>5255341.2699999996</v>
      </c>
      <c r="O19" s="37">
        <f t="shared" si="2"/>
        <v>1056286.3083633147</v>
      </c>
      <c r="P19" s="125">
        <v>13405927</v>
      </c>
      <c r="Q19" s="85">
        <f t="shared" si="1"/>
        <v>0</v>
      </c>
    </row>
    <row r="20" spans="1:17" ht="187.2" hidden="1" x14ac:dyDescent="0.3">
      <c r="A20" s="31">
        <v>12</v>
      </c>
      <c r="B20" s="32">
        <v>140101</v>
      </c>
      <c r="C20" s="33">
        <v>3</v>
      </c>
      <c r="D20" s="33" t="s">
        <v>38</v>
      </c>
      <c r="E20" s="34" t="s">
        <v>155</v>
      </c>
      <c r="F20" s="34" t="s">
        <v>167</v>
      </c>
      <c r="G20" s="34" t="s">
        <v>168</v>
      </c>
      <c r="H20" s="32" t="s">
        <v>35</v>
      </c>
      <c r="I20" s="35">
        <v>7839813.0199999996</v>
      </c>
      <c r="J20" s="35">
        <v>5717169.0499999998</v>
      </c>
      <c r="K20" s="36">
        <f t="shared" si="4"/>
        <v>0.5729880787765057</v>
      </c>
      <c r="L20" s="36">
        <f t="shared" si="5"/>
        <v>0.5729880787765057</v>
      </c>
      <c r="M20" s="35">
        <v>3275869.71</v>
      </c>
      <c r="N20" s="37">
        <f t="shared" si="6"/>
        <v>2441299.34</v>
      </c>
      <c r="O20" s="37">
        <f t="shared" si="2"/>
        <v>490683.84620022913</v>
      </c>
      <c r="P20" s="125">
        <v>5717169.0499999998</v>
      </c>
      <c r="Q20" s="85">
        <f t="shared" si="1"/>
        <v>0</v>
      </c>
    </row>
    <row r="21" spans="1:17" s="38" customFormat="1" ht="158.4" hidden="1" x14ac:dyDescent="0.3">
      <c r="A21" s="31">
        <v>13</v>
      </c>
      <c r="B21" s="32">
        <v>140357</v>
      </c>
      <c r="C21" s="33">
        <v>3</v>
      </c>
      <c r="D21" s="33" t="s">
        <v>38</v>
      </c>
      <c r="E21" s="34" t="s">
        <v>155</v>
      </c>
      <c r="F21" s="34" t="s">
        <v>169</v>
      </c>
      <c r="G21" s="34" t="s">
        <v>170</v>
      </c>
      <c r="H21" s="32" t="s">
        <v>171</v>
      </c>
      <c r="I21" s="35">
        <v>8938635.6400000006</v>
      </c>
      <c r="J21" s="35">
        <v>8242811.75</v>
      </c>
      <c r="K21" s="36">
        <f t="shared" si="4"/>
        <v>7.4311808710177077E-2</v>
      </c>
      <c r="L21" s="36">
        <f t="shared" si="5"/>
        <v>7.4311808710177077E-2</v>
      </c>
      <c r="M21" s="35">
        <v>612538.25</v>
      </c>
      <c r="N21" s="37">
        <f t="shared" si="6"/>
        <v>7630273.5</v>
      </c>
      <c r="O21" s="37">
        <f t="shared" si="2"/>
        <v>1533630.8363314776</v>
      </c>
      <c r="P21" s="125">
        <v>8242811.75</v>
      </c>
      <c r="Q21" s="85">
        <f t="shared" si="1"/>
        <v>0</v>
      </c>
    </row>
    <row r="22" spans="1:17" hidden="1" x14ac:dyDescent="0.3">
      <c r="A22" s="131" t="s">
        <v>180</v>
      </c>
      <c r="B22" s="131"/>
      <c r="C22" s="131"/>
      <c r="D22" s="15"/>
      <c r="E22" s="16"/>
      <c r="F22" s="16"/>
      <c r="G22" s="16"/>
      <c r="H22" s="17"/>
      <c r="I22" s="19"/>
      <c r="J22" s="19"/>
      <c r="K22" s="20"/>
      <c r="L22" s="20"/>
      <c r="M22" s="19">
        <f>SUBTOTAL(9,M11:M21)</f>
        <v>76834619.779999986</v>
      </c>
      <c r="N22" s="19">
        <f t="shared" ref="N22:O22" si="7">SUBTOTAL(9,N11:N21)</f>
        <v>46568753.310000002</v>
      </c>
      <c r="O22" s="19">
        <f t="shared" si="7"/>
        <v>9359989.0076980293</v>
      </c>
      <c r="P22" s="125"/>
      <c r="Q22" s="85">
        <f t="shared" si="1"/>
        <v>0</v>
      </c>
    </row>
    <row r="23" spans="1:17" hidden="1" x14ac:dyDescent="0.3">
      <c r="A23" s="31">
        <v>14</v>
      </c>
      <c r="B23" s="32">
        <v>123323</v>
      </c>
      <c r="C23" s="33">
        <v>3</v>
      </c>
      <c r="D23" s="33" t="s">
        <v>21</v>
      </c>
      <c r="E23" s="34" t="s">
        <v>114</v>
      </c>
      <c r="F23" s="34" t="s">
        <v>127</v>
      </c>
      <c r="G23" s="34" t="s">
        <v>128</v>
      </c>
      <c r="H23" s="32" t="s">
        <v>129</v>
      </c>
      <c r="I23" s="35">
        <v>31426566.510000002</v>
      </c>
      <c r="J23" s="35">
        <v>22755436.289999999</v>
      </c>
      <c r="K23" s="36">
        <f>M23/J23</f>
        <v>0.63680378109770808</v>
      </c>
      <c r="L23" s="36">
        <f t="shared" ref="L23:L25" si="8">M23/P23</f>
        <v>0.63680378109770808</v>
      </c>
      <c r="M23" s="35">
        <v>14490747.870000001</v>
      </c>
      <c r="N23" s="37">
        <f>P23-M23</f>
        <v>8264688.4199999981</v>
      </c>
      <c r="O23" s="37">
        <f t="shared" si="2"/>
        <v>1661143.734046188</v>
      </c>
      <c r="P23" s="125">
        <v>22755436.289999999</v>
      </c>
      <c r="Q23" s="85">
        <f t="shared" si="1"/>
        <v>0</v>
      </c>
    </row>
    <row r="24" spans="1:17" ht="28.8" hidden="1" x14ac:dyDescent="0.3">
      <c r="A24" s="31">
        <v>15</v>
      </c>
      <c r="B24" s="32">
        <v>130544</v>
      </c>
      <c r="C24" s="33">
        <v>3</v>
      </c>
      <c r="D24" s="33" t="s">
        <v>21</v>
      </c>
      <c r="E24" s="34" t="s">
        <v>98</v>
      </c>
      <c r="F24" s="34" t="s">
        <v>112</v>
      </c>
      <c r="G24" s="34" t="s">
        <v>106</v>
      </c>
      <c r="H24" s="32" t="s">
        <v>113</v>
      </c>
      <c r="I24" s="35">
        <v>45125215.359999999</v>
      </c>
      <c r="J24" s="35">
        <v>40177023.060000002</v>
      </c>
      <c r="K24" s="36">
        <f>M24/J24</f>
        <v>0.96198017837909966</v>
      </c>
      <c r="L24" s="36">
        <f t="shared" si="8"/>
        <v>0.96198017837909966</v>
      </c>
      <c r="M24" s="35">
        <v>38649499.810000002</v>
      </c>
      <c r="N24" s="37">
        <f t="shared" ref="N24:N25" si="9">P24-M24</f>
        <v>1527523.25</v>
      </c>
      <c r="O24" s="37">
        <f t="shared" si="2"/>
        <v>307021.33539686049</v>
      </c>
      <c r="P24" s="125">
        <v>40177023.060000002</v>
      </c>
      <c r="Q24" s="85">
        <f t="shared" si="1"/>
        <v>0</v>
      </c>
    </row>
    <row r="25" spans="1:17" s="38" customFormat="1" ht="43.2" hidden="1" x14ac:dyDescent="0.3">
      <c r="A25" s="31">
        <v>16</v>
      </c>
      <c r="B25" s="32">
        <v>130760</v>
      </c>
      <c r="C25" s="33">
        <v>3</v>
      </c>
      <c r="D25" s="33" t="s">
        <v>21</v>
      </c>
      <c r="E25" s="34" t="s">
        <v>13</v>
      </c>
      <c r="F25" s="34" t="s">
        <v>22</v>
      </c>
      <c r="G25" s="34" t="s">
        <v>23</v>
      </c>
      <c r="H25" s="32" t="s">
        <v>24</v>
      </c>
      <c r="I25" s="35">
        <v>47028577.509999998</v>
      </c>
      <c r="J25" s="35">
        <v>43935592.229999997</v>
      </c>
      <c r="K25" s="36">
        <f>M25/J25</f>
        <v>0.73725912468484334</v>
      </c>
      <c r="L25" s="36">
        <f t="shared" si="8"/>
        <v>0.73725912468484334</v>
      </c>
      <c r="M25" s="35">
        <v>32391916.27</v>
      </c>
      <c r="N25" s="37">
        <f t="shared" si="9"/>
        <v>11543675.959999997</v>
      </c>
      <c r="O25" s="37">
        <f t="shared" si="2"/>
        <v>2320196.9650071347</v>
      </c>
      <c r="P25" s="126">
        <v>43935592.229999997</v>
      </c>
      <c r="Q25" s="126">
        <f t="shared" si="1"/>
        <v>0</v>
      </c>
    </row>
    <row r="26" spans="1:17" hidden="1" x14ac:dyDescent="0.3">
      <c r="A26" s="131" t="s">
        <v>173</v>
      </c>
      <c r="B26" s="131"/>
      <c r="C26" s="131"/>
      <c r="D26" s="15"/>
      <c r="E26" s="16"/>
      <c r="F26" s="16"/>
      <c r="G26" s="16"/>
      <c r="H26" s="17"/>
      <c r="I26" s="19"/>
      <c r="J26" s="19"/>
      <c r="K26" s="20"/>
      <c r="L26" s="20"/>
      <c r="M26" s="19">
        <f>SUBTOTAL(9,M23:M25)</f>
        <v>85532163.950000003</v>
      </c>
      <c r="N26" s="19">
        <f t="shared" ref="N26:O26" si="10">SUBTOTAL(9,N23:N25)</f>
        <v>21335887.629999995</v>
      </c>
      <c r="O26" s="19">
        <f t="shared" si="10"/>
        <v>4288362.0344501827</v>
      </c>
      <c r="P26" s="125"/>
      <c r="Q26" s="85">
        <f t="shared" si="1"/>
        <v>0</v>
      </c>
    </row>
    <row r="27" spans="1:17" s="38" customFormat="1" ht="87" customHeight="1" x14ac:dyDescent="0.3">
      <c r="A27" s="31">
        <v>17</v>
      </c>
      <c r="B27" s="32">
        <v>128836</v>
      </c>
      <c r="C27" s="33">
        <v>4</v>
      </c>
      <c r="D27" s="33" t="s">
        <v>17</v>
      </c>
      <c r="E27" s="34" t="s">
        <v>13</v>
      </c>
      <c r="F27" s="34" t="s">
        <v>18</v>
      </c>
      <c r="G27" s="34" t="s">
        <v>19</v>
      </c>
      <c r="H27" s="32" t="s">
        <v>20</v>
      </c>
      <c r="I27" s="35">
        <v>57753740.130000003</v>
      </c>
      <c r="J27" s="35">
        <v>56929024.909999996</v>
      </c>
      <c r="K27" s="36">
        <f>M27/J27</f>
        <v>0.32743585191331182</v>
      </c>
      <c r="L27" s="36">
        <f t="shared" ref="L27:L36" si="11">M27/P27</f>
        <v>0.32743585191331182</v>
      </c>
      <c r="M27" s="35">
        <v>18640603.77</v>
      </c>
      <c r="N27" s="37">
        <f>P27-M27</f>
        <v>38288421.140000001</v>
      </c>
      <c r="O27" s="37">
        <f t="shared" si="2"/>
        <v>7695700.9908950217</v>
      </c>
      <c r="P27" s="126">
        <v>56929024.909999996</v>
      </c>
      <c r="Q27" s="126">
        <f t="shared" si="1"/>
        <v>0</v>
      </c>
    </row>
    <row r="28" spans="1:17" s="38" customFormat="1" ht="90" customHeight="1" x14ac:dyDescent="0.3">
      <c r="A28" s="31">
        <v>18</v>
      </c>
      <c r="B28" s="32">
        <v>129156</v>
      </c>
      <c r="C28" s="33">
        <v>4</v>
      </c>
      <c r="D28" s="33" t="s">
        <v>17</v>
      </c>
      <c r="E28" s="34" t="s">
        <v>26</v>
      </c>
      <c r="F28" s="34" t="s">
        <v>36</v>
      </c>
      <c r="G28" s="34" t="s">
        <v>37</v>
      </c>
      <c r="H28" s="32" t="s">
        <v>29</v>
      </c>
      <c r="I28" s="35">
        <v>46972089.25</v>
      </c>
      <c r="J28" s="35">
        <v>43419721.020000003</v>
      </c>
      <c r="K28" s="36">
        <f t="shared" ref="K28:K36" si="12">M28/J28</f>
        <v>0.57108019737340998</v>
      </c>
      <c r="L28" s="36">
        <f t="shared" si="11"/>
        <v>0.57108019737340998</v>
      </c>
      <c r="M28" s="35">
        <v>24796142.850000001</v>
      </c>
      <c r="N28" s="35">
        <f t="shared" ref="N28:N36" si="13">P28-M28</f>
        <v>18623578.170000002</v>
      </c>
      <c r="O28" s="37">
        <f t="shared" si="2"/>
        <v>3743207.0769601837</v>
      </c>
      <c r="P28" s="125">
        <v>43419721.020000003</v>
      </c>
      <c r="Q28" s="85">
        <f t="shared" si="1"/>
        <v>0</v>
      </c>
    </row>
    <row r="29" spans="1:17" s="38" customFormat="1" ht="72" x14ac:dyDescent="0.3">
      <c r="A29" s="31">
        <v>19</v>
      </c>
      <c r="B29" s="32">
        <v>126025</v>
      </c>
      <c r="C29" s="33">
        <v>4</v>
      </c>
      <c r="D29" s="33" t="s">
        <v>17</v>
      </c>
      <c r="E29" s="34" t="s">
        <v>88</v>
      </c>
      <c r="F29" s="34" t="s">
        <v>89</v>
      </c>
      <c r="G29" s="34" t="s">
        <v>90</v>
      </c>
      <c r="H29" s="32" t="s">
        <v>91</v>
      </c>
      <c r="I29" s="35">
        <v>50873763.490000002</v>
      </c>
      <c r="J29" s="35">
        <v>48777017.560000002</v>
      </c>
      <c r="K29" s="36">
        <f t="shared" si="12"/>
        <v>0.67150401743423027</v>
      </c>
      <c r="L29" s="36">
        <f t="shared" si="11"/>
        <v>0.67150401743423027</v>
      </c>
      <c r="M29" s="35">
        <v>32753963.25</v>
      </c>
      <c r="N29" s="35">
        <f t="shared" si="13"/>
        <v>16023054.310000002</v>
      </c>
      <c r="O29" s="37">
        <f t="shared" si="2"/>
        <v>3220520.2319458127</v>
      </c>
      <c r="P29" s="125">
        <v>48777017.560000002</v>
      </c>
      <c r="Q29" s="85">
        <f t="shared" si="1"/>
        <v>0</v>
      </c>
    </row>
    <row r="30" spans="1:17" s="38" customFormat="1" ht="72" x14ac:dyDescent="0.3">
      <c r="A30" s="31">
        <v>20</v>
      </c>
      <c r="B30" s="32">
        <v>126026</v>
      </c>
      <c r="C30" s="33">
        <v>4</v>
      </c>
      <c r="D30" s="33" t="s">
        <v>17</v>
      </c>
      <c r="E30" s="34" t="s">
        <v>88</v>
      </c>
      <c r="F30" s="34" t="s">
        <v>92</v>
      </c>
      <c r="G30" s="34" t="s">
        <v>90</v>
      </c>
      <c r="H30" s="32" t="s">
        <v>93</v>
      </c>
      <c r="I30" s="35">
        <v>64849399.420000002</v>
      </c>
      <c r="J30" s="35">
        <v>63703883.710000001</v>
      </c>
      <c r="K30" s="36">
        <f t="shared" si="12"/>
        <v>0.40879461177830911</v>
      </c>
      <c r="L30" s="36">
        <f t="shared" si="11"/>
        <v>0.40879461177830911</v>
      </c>
      <c r="M30" s="35">
        <v>26041804.41</v>
      </c>
      <c r="N30" s="35">
        <f t="shared" si="13"/>
        <v>37662079.299999997</v>
      </c>
      <c r="O30" s="37">
        <f t="shared" si="2"/>
        <v>7569810.7249814076</v>
      </c>
      <c r="P30" s="125">
        <v>63703883.710000001</v>
      </c>
      <c r="Q30" s="85">
        <f t="shared" si="1"/>
        <v>0</v>
      </c>
    </row>
    <row r="31" spans="1:17" s="38" customFormat="1" ht="55.8" customHeight="1" x14ac:dyDescent="0.3">
      <c r="A31" s="31">
        <v>21</v>
      </c>
      <c r="B31" s="32">
        <v>126027</v>
      </c>
      <c r="C31" s="33">
        <v>4</v>
      </c>
      <c r="D31" s="33" t="s">
        <v>17</v>
      </c>
      <c r="E31" s="34" t="s">
        <v>88</v>
      </c>
      <c r="F31" s="34" t="s">
        <v>94</v>
      </c>
      <c r="G31" s="34" t="s">
        <v>90</v>
      </c>
      <c r="H31" s="32" t="s">
        <v>95</v>
      </c>
      <c r="I31" s="35">
        <v>36512930.530000001</v>
      </c>
      <c r="J31" s="35">
        <v>35968572.840000004</v>
      </c>
      <c r="K31" s="36">
        <f t="shared" si="12"/>
        <v>0.55794625322698788</v>
      </c>
      <c r="L31" s="36">
        <f t="shared" si="11"/>
        <v>0.55794625322698788</v>
      </c>
      <c r="M31" s="35">
        <v>20068530.449999999</v>
      </c>
      <c r="N31" s="35">
        <f t="shared" si="13"/>
        <v>15900042.390000004</v>
      </c>
      <c r="O31" s="37">
        <f t="shared" si="2"/>
        <v>3195795.7088014805</v>
      </c>
      <c r="P31" s="125">
        <v>35968572.840000004</v>
      </c>
      <c r="Q31" s="85">
        <f t="shared" si="1"/>
        <v>0</v>
      </c>
    </row>
    <row r="32" spans="1:17" ht="28.8" x14ac:dyDescent="0.3">
      <c r="A32" s="31">
        <v>22</v>
      </c>
      <c r="B32" s="5">
        <v>126028</v>
      </c>
      <c r="C32" s="13">
        <v>4</v>
      </c>
      <c r="D32" s="13" t="s">
        <v>17</v>
      </c>
      <c r="E32" s="2" t="s">
        <v>88</v>
      </c>
      <c r="F32" s="2" t="s">
        <v>96</v>
      </c>
      <c r="G32" s="2" t="s">
        <v>90</v>
      </c>
      <c r="H32" s="5" t="s">
        <v>97</v>
      </c>
      <c r="I32" s="3">
        <v>10512228.18</v>
      </c>
      <c r="J32" s="3">
        <v>3117044.09</v>
      </c>
      <c r="K32" s="14">
        <f t="shared" si="12"/>
        <v>0.58365681314440443</v>
      </c>
      <c r="L32" s="14">
        <f t="shared" si="11"/>
        <v>0.58365681314440443</v>
      </c>
      <c r="M32" s="22">
        <v>1819284.02</v>
      </c>
      <c r="N32" s="7">
        <f t="shared" si="13"/>
        <v>1297760.0699999998</v>
      </c>
      <c r="O32" s="7">
        <f t="shared" si="2"/>
        <v>260840.56639800614</v>
      </c>
      <c r="P32" s="125">
        <v>3117044.09</v>
      </c>
      <c r="Q32" s="85">
        <f t="shared" si="1"/>
        <v>0</v>
      </c>
    </row>
    <row r="33" spans="1:17" s="38" customFormat="1" ht="43.2" x14ac:dyDescent="0.3">
      <c r="A33" s="31">
        <v>23</v>
      </c>
      <c r="B33" s="32">
        <v>128390</v>
      </c>
      <c r="C33" s="33">
        <v>4</v>
      </c>
      <c r="D33" s="33" t="s">
        <v>17</v>
      </c>
      <c r="E33" s="34" t="s">
        <v>98</v>
      </c>
      <c r="F33" s="34" t="s">
        <v>107</v>
      </c>
      <c r="G33" s="34" t="s">
        <v>108</v>
      </c>
      <c r="H33" s="32" t="s">
        <v>109</v>
      </c>
      <c r="I33" s="35">
        <v>28171340.420000002</v>
      </c>
      <c r="J33" s="35">
        <v>28171340.420000002</v>
      </c>
      <c r="K33" s="36">
        <f t="shared" si="12"/>
        <v>0.66070584723706949</v>
      </c>
      <c r="L33" s="36">
        <f t="shared" si="11"/>
        <v>0.66070584723706949</v>
      </c>
      <c r="M33" s="35">
        <v>18612969.340000004</v>
      </c>
      <c r="N33" s="35">
        <f t="shared" si="13"/>
        <v>9558371.0799999982</v>
      </c>
      <c r="O33" s="37">
        <f t="shared" si="2"/>
        <v>1921164.76996362</v>
      </c>
      <c r="P33" s="125">
        <v>28171340.420000002</v>
      </c>
      <c r="Q33" s="85">
        <f t="shared" si="1"/>
        <v>0</v>
      </c>
    </row>
    <row r="34" spans="1:17" ht="41.4" customHeight="1" x14ac:dyDescent="0.3">
      <c r="A34" s="31">
        <v>24</v>
      </c>
      <c r="B34" s="32">
        <v>128393</v>
      </c>
      <c r="C34" s="33">
        <v>4</v>
      </c>
      <c r="D34" s="33" t="s">
        <v>17</v>
      </c>
      <c r="E34" s="34" t="s">
        <v>98</v>
      </c>
      <c r="F34" s="34" t="s">
        <v>110</v>
      </c>
      <c r="G34" s="34" t="s">
        <v>108</v>
      </c>
      <c r="H34" s="32" t="s">
        <v>111</v>
      </c>
      <c r="I34" s="35">
        <v>36276862.799999997</v>
      </c>
      <c r="J34" s="35">
        <v>33669454.799999997</v>
      </c>
      <c r="K34" s="36">
        <f t="shared" si="12"/>
        <v>0.59440124673477046</v>
      </c>
      <c r="L34" s="36">
        <f t="shared" si="11"/>
        <v>0.59440124673477046</v>
      </c>
      <c r="M34" s="35">
        <v>20013165.91</v>
      </c>
      <c r="N34" s="35">
        <f t="shared" si="13"/>
        <v>13656288.889999997</v>
      </c>
      <c r="O34" s="37">
        <f t="shared" si="2"/>
        <v>2744817.1748437276</v>
      </c>
      <c r="P34" s="125">
        <v>33669454.799999997</v>
      </c>
      <c r="Q34" s="85">
        <f t="shared" si="1"/>
        <v>0</v>
      </c>
    </row>
    <row r="35" spans="1:17" ht="129" customHeight="1" x14ac:dyDescent="0.3">
      <c r="A35" s="31">
        <v>25</v>
      </c>
      <c r="B35" s="5">
        <v>127645</v>
      </c>
      <c r="C35" s="13">
        <v>4</v>
      </c>
      <c r="D35" s="13" t="s">
        <v>17</v>
      </c>
      <c r="E35" s="2" t="s">
        <v>114</v>
      </c>
      <c r="F35" s="2" t="s">
        <v>147</v>
      </c>
      <c r="G35" s="2" t="s">
        <v>148</v>
      </c>
      <c r="H35" s="5" t="s">
        <v>149</v>
      </c>
      <c r="I35" s="3">
        <v>92711199.230000004</v>
      </c>
      <c r="J35" s="3">
        <v>87648225.230000004</v>
      </c>
      <c r="K35" s="14">
        <f t="shared" si="12"/>
        <v>6.8684048355830016E-2</v>
      </c>
      <c r="L35" s="14">
        <f t="shared" si="11"/>
        <v>6.8684048355830016E-2</v>
      </c>
      <c r="M35" s="22">
        <v>6020034.9400000004</v>
      </c>
      <c r="N35" s="3">
        <f t="shared" si="13"/>
        <v>81628190.290000007</v>
      </c>
      <c r="O35" s="7">
        <f t="shared" si="2"/>
        <v>16406687.092235645</v>
      </c>
      <c r="P35" s="125">
        <v>87648225.230000004</v>
      </c>
      <c r="Q35" s="85">
        <f t="shared" si="1"/>
        <v>0</v>
      </c>
    </row>
    <row r="36" spans="1:17" s="38" customFormat="1" ht="72" x14ac:dyDescent="0.3">
      <c r="A36" s="31">
        <v>26</v>
      </c>
      <c r="B36" s="32">
        <v>128167</v>
      </c>
      <c r="C36" s="33">
        <v>4</v>
      </c>
      <c r="D36" s="33" t="s">
        <v>17</v>
      </c>
      <c r="E36" s="34" t="s">
        <v>155</v>
      </c>
      <c r="F36" s="34" t="s">
        <v>164</v>
      </c>
      <c r="G36" s="34" t="s">
        <v>165</v>
      </c>
      <c r="H36" s="32" t="s">
        <v>166</v>
      </c>
      <c r="I36" s="35">
        <v>103369892.20999999</v>
      </c>
      <c r="J36" s="35">
        <v>91183509.140000001</v>
      </c>
      <c r="K36" s="36">
        <f t="shared" si="12"/>
        <v>0.45203302262380995</v>
      </c>
      <c r="L36" s="36">
        <f t="shared" si="11"/>
        <v>0.39234710102698717</v>
      </c>
      <c r="M36" s="35">
        <v>41217957.25</v>
      </c>
      <c r="N36" s="35">
        <f t="shared" si="13"/>
        <v>63836870.840000004</v>
      </c>
      <c r="O36" s="37">
        <f t="shared" si="2"/>
        <v>12830758.113078609</v>
      </c>
      <c r="P36" s="125">
        <v>105054828.09</v>
      </c>
      <c r="Q36" s="85">
        <f t="shared" si="1"/>
        <v>13871318.950000003</v>
      </c>
    </row>
    <row r="37" spans="1:17" x14ac:dyDescent="0.3">
      <c r="A37" s="131" t="s">
        <v>174</v>
      </c>
      <c r="B37" s="131"/>
      <c r="C37" s="131"/>
      <c r="D37" s="25"/>
      <c r="E37" s="26"/>
      <c r="F37" s="26"/>
      <c r="G37" s="26"/>
      <c r="H37" s="23"/>
      <c r="I37" s="27"/>
      <c r="J37" s="27"/>
      <c r="K37" s="28"/>
      <c r="L37" s="28"/>
      <c r="M37" s="8">
        <f>SUBTOTAL(9,M27:M36)</f>
        <v>209984456.19</v>
      </c>
      <c r="N37" s="8">
        <f>SUBTOTAL(9,N27:N36)</f>
        <v>296474656.48000002</v>
      </c>
      <c r="O37" s="8">
        <f>SUBTOTAL(9,O27:O36)</f>
        <v>59589302.450103514</v>
      </c>
      <c r="P37" s="125"/>
      <c r="Q37" s="85">
        <f t="shared" si="1"/>
        <v>0</v>
      </c>
    </row>
    <row r="38" spans="1:17" s="38" customFormat="1" ht="57.6" hidden="1" x14ac:dyDescent="0.3">
      <c r="A38" s="31">
        <v>27</v>
      </c>
      <c r="B38" s="32">
        <v>128190</v>
      </c>
      <c r="C38" s="33">
        <v>4</v>
      </c>
      <c r="D38" s="33" t="s">
        <v>150</v>
      </c>
      <c r="E38" s="34" t="s">
        <v>114</v>
      </c>
      <c r="F38" s="34" t="s">
        <v>151</v>
      </c>
      <c r="G38" s="34" t="s">
        <v>148</v>
      </c>
      <c r="H38" s="32" t="s">
        <v>152</v>
      </c>
      <c r="I38" s="35">
        <v>26063781.68</v>
      </c>
      <c r="J38" s="35">
        <v>22583237</v>
      </c>
      <c r="K38" s="36">
        <f>M38/J38</f>
        <v>0.33214729048807312</v>
      </c>
      <c r="L38" s="36">
        <f>M38/P38</f>
        <v>0.33214729048807312</v>
      </c>
      <c r="M38" s="35">
        <v>7500960.9800000004</v>
      </c>
      <c r="N38" s="37">
        <f>P38-M38</f>
        <v>15082276.02</v>
      </c>
      <c r="O38" s="37">
        <f t="shared" si="2"/>
        <v>3031430.4705243907</v>
      </c>
      <c r="P38" s="125">
        <v>22583237</v>
      </c>
      <c r="Q38" s="85">
        <f t="shared" si="1"/>
        <v>0</v>
      </c>
    </row>
    <row r="39" spans="1:17" hidden="1" x14ac:dyDescent="0.3">
      <c r="A39" s="131" t="s">
        <v>175</v>
      </c>
      <c r="B39" s="131"/>
      <c r="C39" s="131"/>
      <c r="D39" s="25"/>
      <c r="E39" s="26"/>
      <c r="F39" s="26"/>
      <c r="G39" s="26"/>
      <c r="H39" s="23"/>
      <c r="I39" s="27"/>
      <c r="J39" s="27"/>
      <c r="K39" s="28"/>
      <c r="L39" s="28"/>
      <c r="M39" s="8">
        <f>SUBTOTAL(9,M38)</f>
        <v>7500960.9800000004</v>
      </c>
      <c r="N39" s="8">
        <f t="shared" ref="N39:O39" si="14">SUBTOTAL(9,N38)</f>
        <v>15082276.02</v>
      </c>
      <c r="O39" s="8">
        <f t="shared" si="14"/>
        <v>3031430.4705243907</v>
      </c>
      <c r="P39" s="125"/>
      <c r="Q39" s="85">
        <f t="shared" si="1"/>
        <v>0</v>
      </c>
    </row>
    <row r="40" spans="1:17" ht="100.8" hidden="1" x14ac:dyDescent="0.3">
      <c r="A40" s="31">
        <v>28</v>
      </c>
      <c r="B40" s="32">
        <v>116344</v>
      </c>
      <c r="C40" s="33">
        <v>5</v>
      </c>
      <c r="D40" s="33" t="s">
        <v>49</v>
      </c>
      <c r="E40" s="34" t="s">
        <v>42</v>
      </c>
      <c r="F40" s="34" t="s">
        <v>50</v>
      </c>
      <c r="G40" s="34" t="s">
        <v>44</v>
      </c>
      <c r="H40" s="32" t="s">
        <v>51</v>
      </c>
      <c r="I40" s="35">
        <v>18491794.32</v>
      </c>
      <c r="J40" s="35">
        <v>11873958.779999999</v>
      </c>
      <c r="K40" s="36">
        <f>M40/J40</f>
        <v>1.0519979740067786</v>
      </c>
      <c r="L40" s="36">
        <f>M40/P40</f>
        <v>0.96487428464670955</v>
      </c>
      <c r="M40" s="35">
        <v>12491380.58</v>
      </c>
      <c r="N40" s="37">
        <f>P40-M40</f>
        <v>454741.81000000052</v>
      </c>
      <c r="O40" s="37">
        <f t="shared" si="2"/>
        <v>91399.877394328083</v>
      </c>
      <c r="P40" s="125">
        <v>12946122.390000001</v>
      </c>
      <c r="Q40" s="85">
        <f t="shared" si="1"/>
        <v>1072163.6100000013</v>
      </c>
    </row>
    <row r="41" spans="1:17" hidden="1" x14ac:dyDescent="0.3">
      <c r="A41" s="131" t="s">
        <v>176</v>
      </c>
      <c r="B41" s="131"/>
      <c r="C41" s="131"/>
      <c r="D41" s="16"/>
      <c r="E41" s="16"/>
      <c r="F41" s="16"/>
      <c r="G41" s="16"/>
      <c r="H41" s="16"/>
      <c r="I41" s="16"/>
      <c r="J41" s="16"/>
      <c r="K41" s="16"/>
      <c r="L41" s="16"/>
      <c r="M41" s="29">
        <f>SUBTOTAL(9,M40)</f>
        <v>12491380.58</v>
      </c>
      <c r="N41" s="29">
        <f t="shared" ref="N41:O41" si="15">SUBTOTAL(9,N40)</f>
        <v>454741.81000000052</v>
      </c>
      <c r="O41" s="29">
        <f t="shared" si="15"/>
        <v>91399.877394328083</v>
      </c>
      <c r="P41" s="125"/>
      <c r="Q41" s="85">
        <f t="shared" si="1"/>
        <v>0</v>
      </c>
    </row>
    <row r="42" spans="1:17" s="38" customFormat="1" ht="172.8" hidden="1" x14ac:dyDescent="0.3">
      <c r="A42" s="31">
        <v>29</v>
      </c>
      <c r="B42" s="32">
        <v>117822</v>
      </c>
      <c r="C42" s="33">
        <v>6</v>
      </c>
      <c r="D42" s="33" t="s">
        <v>53</v>
      </c>
      <c r="E42" s="34" t="s">
        <v>42</v>
      </c>
      <c r="F42" s="34" t="s">
        <v>54</v>
      </c>
      <c r="G42" s="34" t="s">
        <v>55</v>
      </c>
      <c r="H42" s="32" t="s">
        <v>56</v>
      </c>
      <c r="I42" s="35">
        <v>230883315.65000001</v>
      </c>
      <c r="J42" s="35">
        <v>211190265.05000001</v>
      </c>
      <c r="K42" s="36">
        <f>M42/J42</f>
        <v>1.0631140527090313</v>
      </c>
      <c r="L42" s="36">
        <f t="shared" ref="L42:L44" si="16">M42/P42</f>
        <v>0.98646902090592459</v>
      </c>
      <c r="M42" s="35">
        <v>224519338.56999999</v>
      </c>
      <c r="N42" s="37">
        <f>P42-M42</f>
        <v>3079636.9800000191</v>
      </c>
      <c r="O42" s="37">
        <f t="shared" si="2"/>
        <v>618985.18280305096</v>
      </c>
      <c r="P42" s="125">
        <v>227598975.55000001</v>
      </c>
      <c r="Q42" s="85">
        <f t="shared" si="1"/>
        <v>16408710.5</v>
      </c>
    </row>
    <row r="43" spans="1:17" s="38" customFormat="1" ht="129.6" hidden="1" x14ac:dyDescent="0.3">
      <c r="A43" s="31">
        <v>30</v>
      </c>
      <c r="B43" s="32">
        <v>120110</v>
      </c>
      <c r="C43" s="33">
        <v>6</v>
      </c>
      <c r="D43" s="33" t="s">
        <v>53</v>
      </c>
      <c r="E43" s="34" t="s">
        <v>98</v>
      </c>
      <c r="F43" s="34" t="s">
        <v>99</v>
      </c>
      <c r="G43" s="34" t="s">
        <v>100</v>
      </c>
      <c r="H43" s="32" t="s">
        <v>101</v>
      </c>
      <c r="I43" s="35">
        <v>136465080.09</v>
      </c>
      <c r="J43" s="35">
        <v>133033630.08</v>
      </c>
      <c r="K43" s="36">
        <f>M43/J43</f>
        <v>0.72491309401996273</v>
      </c>
      <c r="L43" s="36">
        <f t="shared" si="16"/>
        <v>0.63362319403604828</v>
      </c>
      <c r="M43" s="35">
        <v>96437820.389999986</v>
      </c>
      <c r="N43" s="37">
        <f t="shared" ref="N43:N44" si="17">P43-M43</f>
        <v>55762763.960000008</v>
      </c>
      <c r="O43" s="37">
        <f t="shared" si="2"/>
        <v>11207919.916386954</v>
      </c>
      <c r="P43" s="125">
        <v>152200584.34999999</v>
      </c>
      <c r="Q43" s="85">
        <f t="shared" si="1"/>
        <v>19166954.269999996</v>
      </c>
    </row>
    <row r="44" spans="1:17" s="38" customFormat="1" ht="72" hidden="1" x14ac:dyDescent="0.3">
      <c r="A44" s="31">
        <v>31</v>
      </c>
      <c r="B44" s="32">
        <v>122814</v>
      </c>
      <c r="C44" s="33">
        <v>6</v>
      </c>
      <c r="D44" s="33" t="s">
        <v>53</v>
      </c>
      <c r="E44" s="34" t="s">
        <v>155</v>
      </c>
      <c r="F44" s="34" t="s">
        <v>159</v>
      </c>
      <c r="G44" s="34" t="s">
        <v>160</v>
      </c>
      <c r="H44" s="32" t="s">
        <v>161</v>
      </c>
      <c r="I44" s="35">
        <v>99132667.450000003</v>
      </c>
      <c r="J44" s="35">
        <v>97916974.159999996</v>
      </c>
      <c r="K44" s="36">
        <f>M44/J44</f>
        <v>0.69885603611671088</v>
      </c>
      <c r="L44" s="36">
        <f t="shared" si="16"/>
        <v>0.5442021040712578</v>
      </c>
      <c r="M44" s="35">
        <v>68429868.430000007</v>
      </c>
      <c r="N44" s="37">
        <f t="shared" si="17"/>
        <v>57313615.319999993</v>
      </c>
      <c r="O44" s="37">
        <f t="shared" si="2"/>
        <v>11519630.036379715</v>
      </c>
      <c r="P44" s="125">
        <v>125743483.75</v>
      </c>
      <c r="Q44" s="85">
        <f t="shared" si="1"/>
        <v>27826509.590000004</v>
      </c>
    </row>
    <row r="45" spans="1:17" hidden="1" x14ac:dyDescent="0.3">
      <c r="A45" s="131" t="s">
        <v>177</v>
      </c>
      <c r="B45" s="131"/>
      <c r="C45" s="131"/>
      <c r="D45" s="25"/>
      <c r="E45" s="26"/>
      <c r="F45" s="26"/>
      <c r="G45" s="26"/>
      <c r="H45" s="23"/>
      <c r="I45" s="27"/>
      <c r="J45" s="27"/>
      <c r="K45" s="28"/>
      <c r="L45" s="28"/>
      <c r="M45" s="19">
        <f>SUBTOTAL(9,M42:M44)</f>
        <v>389387027.38999999</v>
      </c>
      <c r="N45" s="19">
        <f t="shared" ref="N45:O45" si="18">SUBTOTAL(9,N42:N44)</f>
        <v>116156016.26000002</v>
      </c>
      <c r="O45" s="19">
        <f t="shared" si="18"/>
        <v>23346535.135569721</v>
      </c>
      <c r="P45" s="125"/>
      <c r="Q45" s="85">
        <f t="shared" si="1"/>
        <v>0</v>
      </c>
    </row>
    <row r="46" spans="1:17" ht="86.4" hidden="1" x14ac:dyDescent="0.3">
      <c r="A46" s="31">
        <v>32</v>
      </c>
      <c r="B46" s="32">
        <v>113119</v>
      </c>
      <c r="C46" s="33">
        <v>7</v>
      </c>
      <c r="D46" s="33" t="s">
        <v>46</v>
      </c>
      <c r="E46" s="34" t="s">
        <v>42</v>
      </c>
      <c r="F46" s="34" t="s">
        <v>47</v>
      </c>
      <c r="G46" s="34" t="s">
        <v>44</v>
      </c>
      <c r="H46" s="32" t="s">
        <v>48</v>
      </c>
      <c r="I46" s="35">
        <v>22478322.300000001</v>
      </c>
      <c r="J46" s="35">
        <v>21727395.460000001</v>
      </c>
      <c r="K46" s="36">
        <f>M46/J46</f>
        <v>0.9431726070309211</v>
      </c>
      <c r="L46" s="36">
        <f t="shared" ref="L46:L48" si="19">M46/P46</f>
        <v>0.9431726070309211</v>
      </c>
      <c r="M46" s="35">
        <v>20492684.219999999</v>
      </c>
      <c r="N46" s="37">
        <f>P46-M46</f>
        <v>1234711.2400000021</v>
      </c>
      <c r="O46" s="37">
        <f t="shared" si="2"/>
        <v>248168.19890257917</v>
      </c>
      <c r="P46" s="125">
        <v>21727395.460000001</v>
      </c>
      <c r="Q46" s="85">
        <f t="shared" si="1"/>
        <v>0</v>
      </c>
    </row>
    <row r="47" spans="1:17" ht="72" hidden="1" x14ac:dyDescent="0.3">
      <c r="A47" s="31">
        <v>33</v>
      </c>
      <c r="B47" s="32">
        <v>116873</v>
      </c>
      <c r="C47" s="33">
        <v>7</v>
      </c>
      <c r="D47" s="33" t="s">
        <v>46</v>
      </c>
      <c r="E47" s="34" t="s">
        <v>42</v>
      </c>
      <c r="F47" s="34" t="s">
        <v>52</v>
      </c>
      <c r="G47" s="34" t="s">
        <v>44</v>
      </c>
      <c r="H47" s="32" t="s">
        <v>48</v>
      </c>
      <c r="I47" s="35">
        <v>20196932.620000001</v>
      </c>
      <c r="J47" s="35">
        <v>19289324.550000001</v>
      </c>
      <c r="K47" s="36">
        <f>M47/J47</f>
        <v>0.97417671734907885</v>
      </c>
      <c r="L47" s="36">
        <f t="shared" si="19"/>
        <v>0.89690735842561997</v>
      </c>
      <c r="M47" s="35">
        <v>18791210.869999997</v>
      </c>
      <c r="N47" s="37">
        <f t="shared" ref="N47:N48" si="20">P47-M47</f>
        <v>2159905.9800000042</v>
      </c>
      <c r="O47" s="37">
        <f t="shared" si="2"/>
        <v>434125.77734006074</v>
      </c>
      <c r="P47" s="125">
        <v>20951116.850000001</v>
      </c>
      <c r="Q47" s="85">
        <f t="shared" si="1"/>
        <v>1661792.3000000007</v>
      </c>
    </row>
    <row r="48" spans="1:17" ht="57.6" hidden="1" x14ac:dyDescent="0.3">
      <c r="A48" s="31">
        <v>34</v>
      </c>
      <c r="B48" s="32">
        <v>119643</v>
      </c>
      <c r="C48" s="33">
        <v>7</v>
      </c>
      <c r="D48" s="33" t="s">
        <v>46</v>
      </c>
      <c r="E48" s="34" t="s">
        <v>42</v>
      </c>
      <c r="F48" s="34" t="s">
        <v>57</v>
      </c>
      <c r="G48" s="34" t="s">
        <v>44</v>
      </c>
      <c r="H48" s="32" t="s">
        <v>58</v>
      </c>
      <c r="I48" s="35">
        <v>21816874.18</v>
      </c>
      <c r="J48" s="35">
        <v>20533641.489999998</v>
      </c>
      <c r="K48" s="36">
        <f>M48/J48</f>
        <v>0.7401619662738157</v>
      </c>
      <c r="L48" s="36">
        <f t="shared" si="19"/>
        <v>0.7401619662738157</v>
      </c>
      <c r="M48" s="35">
        <v>15198220.460000001</v>
      </c>
      <c r="N48" s="37">
        <f t="shared" si="20"/>
        <v>5335421.0299999975</v>
      </c>
      <c r="O48" s="37">
        <f t="shared" si="2"/>
        <v>1072381.7719534496</v>
      </c>
      <c r="P48" s="125">
        <v>20533641.489999998</v>
      </c>
      <c r="Q48" s="85">
        <f t="shared" si="1"/>
        <v>0</v>
      </c>
    </row>
    <row r="49" spans="1:19" hidden="1" x14ac:dyDescent="0.3">
      <c r="A49" s="131" t="s">
        <v>178</v>
      </c>
      <c r="B49" s="131"/>
      <c r="C49" s="131"/>
      <c r="D49" s="15"/>
      <c r="E49" s="16"/>
      <c r="F49" s="16"/>
      <c r="G49" s="16"/>
      <c r="H49" s="17"/>
      <c r="I49" s="19"/>
      <c r="J49" s="19"/>
      <c r="K49" s="20"/>
      <c r="L49" s="20"/>
      <c r="M49" s="19">
        <f>SUBTOTAL(9,M46:M48)</f>
        <v>54482115.549999997</v>
      </c>
      <c r="N49" s="19">
        <f t="shared" ref="N49:O49" si="21">SUBTOTAL(9,N46:N48)</f>
        <v>8730038.2500000037</v>
      </c>
      <c r="O49" s="19">
        <f t="shared" si="21"/>
        <v>1754675.7481960896</v>
      </c>
      <c r="P49" s="125"/>
      <c r="Q49" s="85">
        <f t="shared" si="1"/>
        <v>0</v>
      </c>
    </row>
    <row r="50" spans="1:19" s="38" customFormat="1" ht="57.6" hidden="1" x14ac:dyDescent="0.3">
      <c r="A50" s="31">
        <v>35</v>
      </c>
      <c r="B50" s="32">
        <v>124533</v>
      </c>
      <c r="C50" s="33">
        <v>10</v>
      </c>
      <c r="D50" s="33" t="s">
        <v>134</v>
      </c>
      <c r="E50" s="34" t="s">
        <v>114</v>
      </c>
      <c r="F50" s="34" t="s">
        <v>139</v>
      </c>
      <c r="G50" s="34" t="s">
        <v>122</v>
      </c>
      <c r="H50" s="32" t="s">
        <v>140</v>
      </c>
      <c r="I50" s="35">
        <v>5588997.7300000004</v>
      </c>
      <c r="J50" s="35">
        <v>2869408.75</v>
      </c>
      <c r="K50" s="36">
        <f>M50/J50</f>
        <v>0.94844648745146554</v>
      </c>
      <c r="L50" s="36">
        <f>M50/P50</f>
        <v>0.94844658661265191</v>
      </c>
      <c r="M50" s="35">
        <v>2721480.6500000004</v>
      </c>
      <c r="N50" s="37">
        <f>P50-M50</f>
        <v>147927.79999999981</v>
      </c>
      <c r="O50" s="37">
        <f>N50/4.9753</f>
        <v>29732.438244929919</v>
      </c>
      <c r="P50" s="125">
        <v>2869408.45</v>
      </c>
      <c r="Q50" s="85">
        <f>P50-J50</f>
        <v>-0.29999999981373549</v>
      </c>
    </row>
    <row r="51" spans="1:19" s="38" customFormat="1" ht="57.6" hidden="1" x14ac:dyDescent="0.3">
      <c r="A51" s="31">
        <v>36</v>
      </c>
      <c r="B51" s="32">
        <v>123870</v>
      </c>
      <c r="C51" s="33">
        <v>10</v>
      </c>
      <c r="D51" s="33" t="s">
        <v>134</v>
      </c>
      <c r="E51" s="34" t="s">
        <v>114</v>
      </c>
      <c r="F51" s="34" t="s">
        <v>135</v>
      </c>
      <c r="G51" s="34" t="s">
        <v>116</v>
      </c>
      <c r="H51" s="32" t="s">
        <v>136</v>
      </c>
      <c r="I51" s="35">
        <v>6376653.7000000002</v>
      </c>
      <c r="J51" s="35">
        <v>5410988.3099999996</v>
      </c>
      <c r="K51" s="36">
        <f>M51/J51</f>
        <v>0.80239639438437449</v>
      </c>
      <c r="L51" s="36">
        <f>M51/P51</f>
        <v>0.80239639438437449</v>
      </c>
      <c r="M51" s="35">
        <v>4341757.51</v>
      </c>
      <c r="N51" s="37">
        <f>P51-M51</f>
        <v>1069230.7999999998</v>
      </c>
      <c r="O51" s="37">
        <f t="shared" si="2"/>
        <v>214907.80455449919</v>
      </c>
      <c r="P51" s="126">
        <v>5410988.3099999996</v>
      </c>
      <c r="Q51" s="126">
        <f t="shared" si="1"/>
        <v>0</v>
      </c>
    </row>
    <row r="52" spans="1:19" ht="14.4" hidden="1" customHeight="1" x14ac:dyDescent="0.3">
      <c r="A52" s="131" t="s">
        <v>182</v>
      </c>
      <c r="B52" s="131"/>
      <c r="C52" s="131"/>
      <c r="D52" s="16"/>
      <c r="E52" s="16"/>
      <c r="F52" s="16"/>
      <c r="G52" s="16"/>
      <c r="H52" s="16"/>
      <c r="I52" s="16"/>
      <c r="J52" s="16"/>
      <c r="K52" s="16"/>
      <c r="L52" s="16"/>
      <c r="M52" s="29">
        <f>SUBTOTAL(9,M50:M51)</f>
        <v>7063238.1600000001</v>
      </c>
      <c r="N52" s="29">
        <f t="shared" ref="N52:O52" si="22">SUBTOTAL(9,N50:N51)</f>
        <v>1217158.5999999996</v>
      </c>
      <c r="O52" s="29">
        <f t="shared" si="22"/>
        <v>244640.24279942911</v>
      </c>
      <c r="P52" s="125"/>
      <c r="Q52" s="85">
        <f t="shared" si="1"/>
        <v>0</v>
      </c>
    </row>
    <row r="53" spans="1:19" ht="86.4" hidden="1" x14ac:dyDescent="0.3">
      <c r="A53" s="31">
        <v>37</v>
      </c>
      <c r="B53" s="32">
        <v>121560</v>
      </c>
      <c r="C53" s="33">
        <v>10</v>
      </c>
      <c r="D53" s="33" t="s">
        <v>25</v>
      </c>
      <c r="E53" s="34" t="s">
        <v>26</v>
      </c>
      <c r="F53" s="34" t="s">
        <v>27</v>
      </c>
      <c r="G53" s="34" t="s">
        <v>28</v>
      </c>
      <c r="H53" s="32" t="s">
        <v>29</v>
      </c>
      <c r="I53" s="35">
        <v>10401074.83</v>
      </c>
      <c r="J53" s="35">
        <v>10203162.539999999</v>
      </c>
      <c r="K53" s="36">
        <f t="shared" ref="K53:K59" si="23">M53/J53</f>
        <v>1.0224785147841033</v>
      </c>
      <c r="L53" s="36">
        <f t="shared" ref="L53:L59" si="24">M53/P53</f>
        <v>0.93809918855643326</v>
      </c>
      <c r="M53" s="35">
        <v>10432514.479999999</v>
      </c>
      <c r="N53" s="37">
        <f t="shared" ref="N53:N59" si="25">P53-M53</f>
        <v>688393.21000000089</v>
      </c>
      <c r="O53" s="37">
        <f t="shared" si="2"/>
        <v>138362.15102606895</v>
      </c>
      <c r="P53" s="125">
        <v>11120907.689999999</v>
      </c>
      <c r="Q53" s="85">
        <f t="shared" si="1"/>
        <v>917745.15000000037</v>
      </c>
    </row>
    <row r="54" spans="1:19" ht="100.8" hidden="1" x14ac:dyDescent="0.3">
      <c r="A54" s="31">
        <v>38</v>
      </c>
      <c r="B54" s="32">
        <v>121931</v>
      </c>
      <c r="C54" s="33">
        <v>10</v>
      </c>
      <c r="D54" s="33" t="s">
        <v>25</v>
      </c>
      <c r="E54" s="34" t="s">
        <v>26</v>
      </c>
      <c r="F54" s="34" t="s">
        <v>30</v>
      </c>
      <c r="G54" s="34" t="s">
        <v>31</v>
      </c>
      <c r="H54" s="32" t="s">
        <v>32</v>
      </c>
      <c r="I54" s="35">
        <v>14719674.4</v>
      </c>
      <c r="J54" s="35">
        <v>12216069.25</v>
      </c>
      <c r="K54" s="36">
        <f t="shared" si="23"/>
        <v>0.50676835922487917</v>
      </c>
      <c r="L54" s="36">
        <f t="shared" si="24"/>
        <v>0.50676835922487917</v>
      </c>
      <c r="M54" s="35">
        <v>6190717.3700000001</v>
      </c>
      <c r="N54" s="37">
        <f t="shared" si="25"/>
        <v>6025351.8799999999</v>
      </c>
      <c r="O54" s="37">
        <f t="shared" si="2"/>
        <v>1211052.9777098869</v>
      </c>
      <c r="P54" s="125">
        <v>12216069.25</v>
      </c>
      <c r="Q54" s="85">
        <f t="shared" si="1"/>
        <v>0</v>
      </c>
    </row>
    <row r="55" spans="1:19" ht="86.4" hidden="1" x14ac:dyDescent="0.3">
      <c r="A55" s="31">
        <v>39</v>
      </c>
      <c r="B55" s="32">
        <v>122926</v>
      </c>
      <c r="C55" s="33">
        <v>10</v>
      </c>
      <c r="D55" s="33" t="s">
        <v>25</v>
      </c>
      <c r="E55" s="34" t="s">
        <v>26</v>
      </c>
      <c r="F55" s="34" t="s">
        <v>33</v>
      </c>
      <c r="G55" s="34" t="s">
        <v>34</v>
      </c>
      <c r="H55" s="32" t="s">
        <v>35</v>
      </c>
      <c r="I55" s="35">
        <v>8958798.7699999996</v>
      </c>
      <c r="J55" s="35">
        <v>6676200.2999999998</v>
      </c>
      <c r="K55" s="36">
        <f t="shared" si="23"/>
        <v>0.7402472001926006</v>
      </c>
      <c r="L55" s="36">
        <f t="shared" si="24"/>
        <v>0.7402472001926006</v>
      </c>
      <c r="M55" s="35">
        <v>4942038.58</v>
      </c>
      <c r="N55" s="37">
        <f t="shared" si="25"/>
        <v>1734161.7199999997</v>
      </c>
      <c r="O55" s="37">
        <f t="shared" si="2"/>
        <v>348554.20175667794</v>
      </c>
      <c r="P55" s="125">
        <v>6676200.2999999998</v>
      </c>
      <c r="Q55" s="85">
        <f t="shared" si="1"/>
        <v>0</v>
      </c>
    </row>
    <row r="56" spans="1:19" ht="43.2" hidden="1" x14ac:dyDescent="0.3">
      <c r="A56" s="12">
        <v>40</v>
      </c>
      <c r="B56" s="5">
        <v>122038</v>
      </c>
      <c r="C56" s="13">
        <v>10</v>
      </c>
      <c r="D56" s="13" t="s">
        <v>25</v>
      </c>
      <c r="E56" s="2" t="s">
        <v>42</v>
      </c>
      <c r="F56" s="2" t="s">
        <v>62</v>
      </c>
      <c r="G56" s="2" t="s">
        <v>63</v>
      </c>
      <c r="H56" s="5" t="s">
        <v>64</v>
      </c>
      <c r="I56" s="3">
        <v>10685808.689999999</v>
      </c>
      <c r="J56" s="3">
        <v>5942422.2699999996</v>
      </c>
      <c r="K56" s="14">
        <f t="shared" si="23"/>
        <v>0.55271224944436681</v>
      </c>
      <c r="L56" s="14">
        <f t="shared" si="24"/>
        <v>0.55271224944436681</v>
      </c>
      <c r="M56" s="22">
        <v>3284449.58</v>
      </c>
      <c r="N56" s="7">
        <f t="shared" si="25"/>
        <v>2657972.6899999995</v>
      </c>
      <c r="O56" s="7">
        <f t="shared" si="2"/>
        <v>534233.65224207577</v>
      </c>
      <c r="P56" s="125">
        <v>5942422.2699999996</v>
      </c>
      <c r="Q56" s="85">
        <f t="shared" si="1"/>
        <v>0</v>
      </c>
    </row>
    <row r="57" spans="1:19" s="38" customFormat="1" ht="57.6" hidden="1" x14ac:dyDescent="0.3">
      <c r="A57" s="31">
        <v>41</v>
      </c>
      <c r="B57" s="32">
        <v>123456</v>
      </c>
      <c r="C57" s="33">
        <v>10</v>
      </c>
      <c r="D57" s="33" t="s">
        <v>25</v>
      </c>
      <c r="E57" s="34" t="s">
        <v>42</v>
      </c>
      <c r="F57" s="34" t="s">
        <v>68</v>
      </c>
      <c r="G57" s="34" t="s">
        <v>69</v>
      </c>
      <c r="H57" s="32" t="s">
        <v>32</v>
      </c>
      <c r="I57" s="35">
        <v>33163282.379999999</v>
      </c>
      <c r="J57" s="35">
        <v>17916316.109999999</v>
      </c>
      <c r="K57" s="36">
        <f t="shared" si="23"/>
        <v>0.71586790449858839</v>
      </c>
      <c r="L57" s="36">
        <f t="shared" si="24"/>
        <v>0.71586790449858839</v>
      </c>
      <c r="M57" s="35">
        <v>12825715.67</v>
      </c>
      <c r="N57" s="37">
        <f t="shared" si="25"/>
        <v>5090600.4399999995</v>
      </c>
      <c r="O57" s="37">
        <f t="shared" si="2"/>
        <v>1023174.5703776656</v>
      </c>
      <c r="P57" s="125">
        <v>17916316.109999999</v>
      </c>
      <c r="Q57" s="85">
        <f t="shared" si="1"/>
        <v>0</v>
      </c>
    </row>
    <row r="58" spans="1:19" s="38" customFormat="1" ht="86.4" hidden="1" x14ac:dyDescent="0.3">
      <c r="A58" s="31">
        <v>42</v>
      </c>
      <c r="B58" s="32">
        <v>123883</v>
      </c>
      <c r="C58" s="33">
        <v>10</v>
      </c>
      <c r="D58" s="33" t="s">
        <v>25</v>
      </c>
      <c r="E58" s="34" t="s">
        <v>42</v>
      </c>
      <c r="F58" s="34" t="s">
        <v>72</v>
      </c>
      <c r="G58" s="34" t="s">
        <v>73</v>
      </c>
      <c r="H58" s="32" t="s">
        <v>74</v>
      </c>
      <c r="I58" s="35">
        <v>26427181.02</v>
      </c>
      <c r="J58" s="35">
        <v>20578872.98</v>
      </c>
      <c r="K58" s="36">
        <f t="shared" si="23"/>
        <v>0.64492680784309886</v>
      </c>
      <c r="L58" s="36">
        <f t="shared" si="24"/>
        <v>0.64492680784309886</v>
      </c>
      <c r="M58" s="35">
        <v>13271866.859999999</v>
      </c>
      <c r="N58" s="37">
        <f t="shared" si="25"/>
        <v>7307006.120000001</v>
      </c>
      <c r="O58" s="37">
        <f t="shared" si="2"/>
        <v>1468656.386549555</v>
      </c>
      <c r="P58" s="125">
        <v>20578872.98</v>
      </c>
      <c r="Q58" s="85">
        <f t="shared" si="1"/>
        <v>0</v>
      </c>
    </row>
    <row r="59" spans="1:19" ht="72" hidden="1" x14ac:dyDescent="0.3">
      <c r="A59" s="116">
        <v>43</v>
      </c>
      <c r="B59" s="117">
        <v>124838</v>
      </c>
      <c r="C59" s="118">
        <v>10</v>
      </c>
      <c r="D59" s="118" t="s">
        <v>25</v>
      </c>
      <c r="E59" s="119" t="s">
        <v>42</v>
      </c>
      <c r="F59" s="119" t="s">
        <v>79</v>
      </c>
      <c r="G59" s="119" t="s">
        <v>80</v>
      </c>
      <c r="H59" s="117" t="s">
        <v>64</v>
      </c>
      <c r="I59" s="115">
        <v>5523813.2699999996</v>
      </c>
      <c r="J59" s="115">
        <v>5405170.0800000001</v>
      </c>
      <c r="K59" s="120">
        <f t="shared" si="23"/>
        <v>1.1196871126023844</v>
      </c>
      <c r="L59" s="120">
        <f t="shared" si="24"/>
        <v>0.91764727238235133</v>
      </c>
      <c r="M59" s="115">
        <v>6052099.2799999993</v>
      </c>
      <c r="N59" s="121">
        <f t="shared" si="25"/>
        <v>543135.58000000101</v>
      </c>
      <c r="O59" s="121">
        <f t="shared" si="2"/>
        <v>109166.39800615059</v>
      </c>
      <c r="P59" s="125">
        <v>6595234.8600000003</v>
      </c>
      <c r="Q59" s="85">
        <f t="shared" si="1"/>
        <v>1190064.7800000003</v>
      </c>
      <c r="S59" s="1" t="s">
        <v>310</v>
      </c>
    </row>
    <row r="60" spans="1:19" ht="14.4" hidden="1" customHeight="1" x14ac:dyDescent="0.3">
      <c r="A60" s="131" t="s">
        <v>181</v>
      </c>
      <c r="B60" s="131"/>
      <c r="C60" s="131"/>
      <c r="D60" s="15"/>
      <c r="E60" s="16"/>
      <c r="F60" s="16"/>
      <c r="G60" s="16"/>
      <c r="H60" s="17"/>
      <c r="I60" s="19"/>
      <c r="J60" s="19"/>
      <c r="K60" s="20"/>
      <c r="L60" s="20"/>
      <c r="M60" s="19">
        <f>SUBTOTAL(9,M53:M59)</f>
        <v>56999401.82</v>
      </c>
      <c r="N60" s="19">
        <f t="shared" ref="N60:O60" si="26">SUBTOTAL(9,N53:N59)</f>
        <v>24046621.640000004</v>
      </c>
      <c r="O60" s="19">
        <f t="shared" si="26"/>
        <v>4833200.3376680808</v>
      </c>
      <c r="P60" s="125"/>
      <c r="Q60" s="85">
        <f t="shared" si="1"/>
        <v>0</v>
      </c>
    </row>
    <row r="61" spans="1:19" s="38" customFormat="1" ht="43.2" hidden="1" x14ac:dyDescent="0.3">
      <c r="A61" s="31">
        <v>44</v>
      </c>
      <c r="B61" s="32">
        <v>122028</v>
      </c>
      <c r="C61" s="33">
        <v>10</v>
      </c>
      <c r="D61" s="33">
        <v>10.199999999999999</v>
      </c>
      <c r="E61" s="34" t="s">
        <v>42</v>
      </c>
      <c r="F61" s="34" t="s">
        <v>59</v>
      </c>
      <c r="G61" s="34" t="s">
        <v>60</v>
      </c>
      <c r="H61" s="32" t="s">
        <v>61</v>
      </c>
      <c r="I61" s="35">
        <v>17787524.59</v>
      </c>
      <c r="J61" s="35">
        <v>17073966.829999998</v>
      </c>
      <c r="K61" s="36">
        <f>M61/J61</f>
        <v>0.31158677494045478</v>
      </c>
      <c r="L61" s="36">
        <f t="shared" ref="L61:L63" si="27">M61/P61</f>
        <v>0.31158677494045478</v>
      </c>
      <c r="M61" s="35">
        <v>5320022.26</v>
      </c>
      <c r="N61" s="37">
        <f>J61-M61</f>
        <v>11753944.569999998</v>
      </c>
      <c r="O61" s="37">
        <f t="shared" si="2"/>
        <v>2362459.4637509296</v>
      </c>
      <c r="P61" s="126">
        <v>17073966.829999998</v>
      </c>
      <c r="Q61" s="126">
        <f t="shared" si="1"/>
        <v>0</v>
      </c>
    </row>
    <row r="62" spans="1:19" ht="43.2" hidden="1" x14ac:dyDescent="0.3">
      <c r="A62" s="31">
        <v>45</v>
      </c>
      <c r="B62" s="32">
        <v>124173</v>
      </c>
      <c r="C62" s="33">
        <v>10</v>
      </c>
      <c r="D62" s="33">
        <v>10.199999999999999</v>
      </c>
      <c r="E62" s="34" t="s">
        <v>42</v>
      </c>
      <c r="F62" s="34" t="s">
        <v>75</v>
      </c>
      <c r="G62" s="34" t="s">
        <v>44</v>
      </c>
      <c r="H62" s="32" t="s">
        <v>76</v>
      </c>
      <c r="I62" s="35">
        <v>9471658.1699999999</v>
      </c>
      <c r="J62" s="35">
        <v>9166561.0299999993</v>
      </c>
      <c r="K62" s="36">
        <f>M62/J62</f>
        <v>0.81361418263529539</v>
      </c>
      <c r="L62" s="36">
        <f t="shared" si="27"/>
        <v>0.81361418263529539</v>
      </c>
      <c r="M62" s="35">
        <v>7458044.0600000005</v>
      </c>
      <c r="N62" s="37">
        <f>J62-M62</f>
        <v>1708516.9699999988</v>
      </c>
      <c r="O62" s="37">
        <f t="shared" si="2"/>
        <v>343399.78895744955</v>
      </c>
      <c r="P62" s="125">
        <v>9166561.0299999993</v>
      </c>
      <c r="Q62" s="85">
        <f t="shared" si="1"/>
        <v>0</v>
      </c>
    </row>
    <row r="63" spans="1:19" ht="57.6" hidden="1" x14ac:dyDescent="0.3">
      <c r="A63" s="31">
        <v>46</v>
      </c>
      <c r="B63" s="32">
        <v>124288</v>
      </c>
      <c r="C63" s="33">
        <v>10</v>
      </c>
      <c r="D63" s="33">
        <v>10.199999999999999</v>
      </c>
      <c r="E63" s="34" t="s">
        <v>114</v>
      </c>
      <c r="F63" s="34" t="s">
        <v>137</v>
      </c>
      <c r="G63" s="34" t="s">
        <v>116</v>
      </c>
      <c r="H63" s="32" t="s">
        <v>138</v>
      </c>
      <c r="I63" s="35">
        <v>17681904.170000002</v>
      </c>
      <c r="J63" s="35">
        <v>13510339.67</v>
      </c>
      <c r="K63" s="36">
        <f>M63/J63</f>
        <v>0.61522065196159503</v>
      </c>
      <c r="L63" s="36">
        <f t="shared" si="27"/>
        <v>0.61522065196159503</v>
      </c>
      <c r="M63" s="35">
        <v>8311839.9800000004</v>
      </c>
      <c r="N63" s="37">
        <f>J63-M63</f>
        <v>5198499.6899999995</v>
      </c>
      <c r="O63" s="37">
        <f t="shared" si="2"/>
        <v>1044861.554077141</v>
      </c>
      <c r="P63" s="125">
        <v>13510339.67</v>
      </c>
      <c r="Q63" s="85">
        <f t="shared" si="1"/>
        <v>0</v>
      </c>
    </row>
    <row r="64" spans="1:19" hidden="1" x14ac:dyDescent="0.3">
      <c r="A64" s="131" t="s">
        <v>183</v>
      </c>
      <c r="B64" s="131"/>
      <c r="C64" s="131"/>
      <c r="D64" s="15"/>
      <c r="E64" s="16"/>
      <c r="F64" s="16"/>
      <c r="G64" s="16"/>
      <c r="H64" s="17"/>
      <c r="I64" s="19"/>
      <c r="J64" s="19"/>
      <c r="K64" s="20"/>
      <c r="L64" s="20"/>
      <c r="M64" s="19">
        <f>SUBTOTAL(9,M61:M63)</f>
        <v>21089906.300000001</v>
      </c>
      <c r="N64" s="19">
        <f t="shared" ref="N64:O64" si="28">SUBTOTAL(9,N61:N63)</f>
        <v>18660961.229999997</v>
      </c>
      <c r="O64" s="19">
        <f t="shared" si="28"/>
        <v>3750720.8067855202</v>
      </c>
      <c r="P64" s="125"/>
      <c r="Q64" s="85">
        <f t="shared" si="1"/>
        <v>0</v>
      </c>
    </row>
    <row r="65" spans="1:17" ht="72" hidden="1" x14ac:dyDescent="0.3">
      <c r="A65" s="31">
        <v>47</v>
      </c>
      <c r="B65" s="32">
        <v>123418</v>
      </c>
      <c r="C65" s="33">
        <v>13</v>
      </c>
      <c r="D65" s="33" t="s">
        <v>65</v>
      </c>
      <c r="E65" s="34" t="s">
        <v>42</v>
      </c>
      <c r="F65" s="34" t="s">
        <v>66</v>
      </c>
      <c r="G65" s="34" t="s">
        <v>44</v>
      </c>
      <c r="H65" s="32" t="s">
        <v>67</v>
      </c>
      <c r="I65" s="35">
        <v>18190095.960000001</v>
      </c>
      <c r="J65" s="35">
        <v>18149195.57</v>
      </c>
      <c r="K65" s="36">
        <f t="shared" ref="K65:K77" si="29">M65/J65</f>
        <v>0.67003439866508641</v>
      </c>
      <c r="L65" s="36">
        <f t="shared" ref="L65:L77" si="30">M65/P65</f>
        <v>0.67003439866508641</v>
      </c>
      <c r="M65" s="35">
        <f>'AXA 13'!S4</f>
        <v>12160585.34</v>
      </c>
      <c r="N65" s="37">
        <f>'AXA 13'!T4</f>
        <v>5782579.379999999</v>
      </c>
      <c r="O65" s="37">
        <f t="shared" si="2"/>
        <v>1162257.4276928022</v>
      </c>
      <c r="P65" s="125">
        <v>18149195.57</v>
      </c>
      <c r="Q65" s="85">
        <f t="shared" si="1"/>
        <v>0</v>
      </c>
    </row>
    <row r="66" spans="1:17" ht="43.2" hidden="1" x14ac:dyDescent="0.3">
      <c r="A66" s="12">
        <v>48</v>
      </c>
      <c r="B66" s="5">
        <v>123868</v>
      </c>
      <c r="C66" s="13">
        <v>13</v>
      </c>
      <c r="D66" s="13" t="s">
        <v>65</v>
      </c>
      <c r="E66" s="2" t="s">
        <v>42</v>
      </c>
      <c r="F66" s="2" t="s">
        <v>70</v>
      </c>
      <c r="G66" s="2" t="s">
        <v>60</v>
      </c>
      <c r="H66" s="5" t="s">
        <v>71</v>
      </c>
      <c r="I66" s="3">
        <v>27114421.949999999</v>
      </c>
      <c r="J66" s="3">
        <v>23255980.300000001</v>
      </c>
      <c r="K66" s="14">
        <f t="shared" si="29"/>
        <v>0.14370931248165875</v>
      </c>
      <c r="L66" s="14">
        <f t="shared" si="30"/>
        <v>0.14370931248165875</v>
      </c>
      <c r="M66" s="22">
        <v>3342100.94</v>
      </c>
      <c r="N66" s="7">
        <f>'AXA 13'!T5</f>
        <v>10248588.33</v>
      </c>
      <c r="O66" s="7">
        <f t="shared" si="2"/>
        <v>2059893.5400880349</v>
      </c>
      <c r="P66" s="125">
        <v>23255980.300000001</v>
      </c>
      <c r="Q66" s="85">
        <f t="shared" si="1"/>
        <v>0</v>
      </c>
    </row>
    <row r="67" spans="1:17" ht="72" hidden="1" x14ac:dyDescent="0.3">
      <c r="A67" s="12">
        <v>49</v>
      </c>
      <c r="B67" s="5">
        <v>124342</v>
      </c>
      <c r="C67" s="13">
        <v>13</v>
      </c>
      <c r="D67" s="13" t="s">
        <v>65</v>
      </c>
      <c r="E67" s="2" t="s">
        <v>42</v>
      </c>
      <c r="F67" s="2" t="s">
        <v>77</v>
      </c>
      <c r="G67" s="2" t="s">
        <v>60</v>
      </c>
      <c r="H67" s="5" t="s">
        <v>78</v>
      </c>
      <c r="I67" s="3">
        <v>17846468.75</v>
      </c>
      <c r="J67" s="3">
        <v>17775953.350000001</v>
      </c>
      <c r="K67" s="14">
        <f t="shared" si="29"/>
        <v>0.25963975878683321</v>
      </c>
      <c r="L67" s="14">
        <f t="shared" si="30"/>
        <v>0.25963975878683321</v>
      </c>
      <c r="M67" s="22">
        <v>4615344.24</v>
      </c>
      <c r="N67" s="7">
        <f>'AXA 13'!T6</f>
        <v>10126808.41</v>
      </c>
      <c r="O67" s="7">
        <f t="shared" si="2"/>
        <v>2035416.640202601</v>
      </c>
      <c r="P67" s="125">
        <v>17775953.350000001</v>
      </c>
      <c r="Q67" s="85">
        <f t="shared" si="1"/>
        <v>0</v>
      </c>
    </row>
    <row r="68" spans="1:17" ht="100.8" hidden="1" x14ac:dyDescent="0.3">
      <c r="A68" s="31">
        <v>50</v>
      </c>
      <c r="B68" s="32">
        <v>125421</v>
      </c>
      <c r="C68" s="33">
        <v>13</v>
      </c>
      <c r="D68" s="33" t="s">
        <v>65</v>
      </c>
      <c r="E68" s="34" t="s">
        <v>42</v>
      </c>
      <c r="F68" s="34" t="s">
        <v>81</v>
      </c>
      <c r="G68" s="34" t="s">
        <v>44</v>
      </c>
      <c r="H68" s="32" t="s">
        <v>32</v>
      </c>
      <c r="I68" s="35">
        <v>14298093.85</v>
      </c>
      <c r="J68" s="35">
        <v>13954859.689999999</v>
      </c>
      <c r="K68" s="36">
        <f t="shared" si="29"/>
        <v>0.65739738225916911</v>
      </c>
      <c r="L68" s="36">
        <f t="shared" si="30"/>
        <v>0.65739738225916911</v>
      </c>
      <c r="M68" s="35">
        <f>'AXA 13'!S7</f>
        <v>9173888.2300000004</v>
      </c>
      <c r="N68" s="37">
        <f>'AXA 13'!T7</f>
        <v>4780971.459999999</v>
      </c>
      <c r="O68" s="37">
        <f t="shared" si="2"/>
        <v>960941.34223061905</v>
      </c>
      <c r="P68" s="125">
        <v>13954859.689999999</v>
      </c>
      <c r="Q68" s="85">
        <f t="shared" si="1"/>
        <v>0</v>
      </c>
    </row>
    <row r="69" spans="1:17" ht="28.8" hidden="1" x14ac:dyDescent="0.3">
      <c r="A69" s="12">
        <v>51</v>
      </c>
      <c r="B69" s="5">
        <v>125834</v>
      </c>
      <c r="C69" s="13">
        <v>13</v>
      </c>
      <c r="D69" s="13" t="s">
        <v>65</v>
      </c>
      <c r="E69" s="2" t="s">
        <v>42</v>
      </c>
      <c r="F69" s="2" t="s">
        <v>82</v>
      </c>
      <c r="G69" s="2" t="s">
        <v>83</v>
      </c>
      <c r="H69" s="5" t="s">
        <v>84</v>
      </c>
      <c r="I69" s="3">
        <v>25172957.059999999</v>
      </c>
      <c r="J69" s="3">
        <v>23264861.129999999</v>
      </c>
      <c r="K69" s="14">
        <f t="shared" si="29"/>
        <v>6.4921573421831136E-2</v>
      </c>
      <c r="L69" s="14">
        <f t="shared" si="30"/>
        <v>6.4921573421831136E-2</v>
      </c>
      <c r="M69" s="22">
        <v>1510391.3900000001</v>
      </c>
      <c r="N69" s="7">
        <f>'AXA 13'!T8</f>
        <v>7477623.7000000002</v>
      </c>
      <c r="O69" s="7">
        <f t="shared" si="2"/>
        <v>1502949.3095893716</v>
      </c>
      <c r="P69" s="125">
        <v>23264861.129999999</v>
      </c>
      <c r="Q69" s="85">
        <f t="shared" si="1"/>
        <v>0</v>
      </c>
    </row>
    <row r="70" spans="1:17" ht="28.8" hidden="1" x14ac:dyDescent="0.3">
      <c r="A70" s="12">
        <v>52</v>
      </c>
      <c r="B70" s="5">
        <v>125835</v>
      </c>
      <c r="C70" s="13">
        <v>13</v>
      </c>
      <c r="D70" s="13" t="s">
        <v>65</v>
      </c>
      <c r="E70" s="2" t="s">
        <v>42</v>
      </c>
      <c r="F70" s="2" t="s">
        <v>85</v>
      </c>
      <c r="G70" s="2" t="s">
        <v>83</v>
      </c>
      <c r="H70" s="5" t="s">
        <v>84</v>
      </c>
      <c r="I70" s="3">
        <v>25479414.780000001</v>
      </c>
      <c r="J70" s="3">
        <v>22791761.629999999</v>
      </c>
      <c r="K70" s="14">
        <f t="shared" si="29"/>
        <v>5.7983161260361071E-2</v>
      </c>
      <c r="L70" s="14">
        <f t="shared" si="30"/>
        <v>5.7983161260361071E-2</v>
      </c>
      <c r="M70" s="22">
        <v>1321538.3899999999</v>
      </c>
      <c r="N70" s="7">
        <f>'AXA 13'!T9</f>
        <v>15682493.439999999</v>
      </c>
      <c r="O70" s="7">
        <f t="shared" si="2"/>
        <v>3152069.913372058</v>
      </c>
      <c r="P70" s="125">
        <v>22791761.629999999</v>
      </c>
      <c r="Q70" s="85">
        <f t="shared" si="1"/>
        <v>0</v>
      </c>
    </row>
    <row r="71" spans="1:17" s="38" customFormat="1" ht="86.4" hidden="1" x14ac:dyDescent="0.3">
      <c r="A71" s="12">
        <v>53</v>
      </c>
      <c r="B71" s="32">
        <v>126023</v>
      </c>
      <c r="C71" s="33">
        <v>13</v>
      </c>
      <c r="D71" s="33" t="s">
        <v>65</v>
      </c>
      <c r="E71" s="34" t="s">
        <v>98</v>
      </c>
      <c r="F71" s="34" t="s">
        <v>102</v>
      </c>
      <c r="G71" s="34" t="s">
        <v>103</v>
      </c>
      <c r="H71" s="32" t="s">
        <v>104</v>
      </c>
      <c r="I71" s="35">
        <v>24273208.059999999</v>
      </c>
      <c r="J71" s="35">
        <v>23160453.329999998</v>
      </c>
      <c r="K71" s="36">
        <f t="shared" si="29"/>
        <v>0.66959079725405368</v>
      </c>
      <c r="L71" s="36">
        <f t="shared" si="30"/>
        <v>0.55074063307649412</v>
      </c>
      <c r="M71" s="35">
        <v>15508026.41</v>
      </c>
      <c r="N71" s="37">
        <f>'AXA 13'!T14</f>
        <v>9135977.5500000007</v>
      </c>
      <c r="O71" s="37">
        <f t="shared" si="2"/>
        <v>1836266.6673366432</v>
      </c>
      <c r="P71" s="126">
        <v>28158493.27</v>
      </c>
      <c r="Q71" s="126">
        <f t="shared" si="1"/>
        <v>4998039.9400000013</v>
      </c>
    </row>
    <row r="72" spans="1:17" ht="86.4" hidden="1" x14ac:dyDescent="0.3">
      <c r="A72" s="12">
        <v>54</v>
      </c>
      <c r="B72" s="5">
        <v>126663</v>
      </c>
      <c r="C72" s="13">
        <v>13</v>
      </c>
      <c r="D72" s="13" t="s">
        <v>65</v>
      </c>
      <c r="E72" s="2" t="s">
        <v>98</v>
      </c>
      <c r="F72" s="2" t="s">
        <v>105</v>
      </c>
      <c r="G72" s="2" t="s">
        <v>106</v>
      </c>
      <c r="H72" s="5" t="s">
        <v>84</v>
      </c>
      <c r="I72" s="3">
        <v>13175461.75</v>
      </c>
      <c r="J72" s="3">
        <v>13092242.289999999</v>
      </c>
      <c r="K72" s="14">
        <f t="shared" si="29"/>
        <v>0.59665478739012856</v>
      </c>
      <c r="L72" s="14">
        <f t="shared" si="30"/>
        <v>0.59665478739012856</v>
      </c>
      <c r="M72" s="22">
        <v>7811549.04</v>
      </c>
      <c r="N72" s="7">
        <f>'AXA 13'!T13</f>
        <v>334197.59000000003</v>
      </c>
      <c r="O72" s="7">
        <f t="shared" ref="O72:O77" si="31">N72/4.9753</f>
        <v>67171.344441541223</v>
      </c>
      <c r="P72" s="125">
        <v>13092242.289999999</v>
      </c>
      <c r="Q72" s="85">
        <f t="shared" ref="Q72:Q78" si="32">P72-J72</f>
        <v>0</v>
      </c>
    </row>
    <row r="73" spans="1:17" s="38" customFormat="1" ht="43.2" hidden="1" x14ac:dyDescent="0.3">
      <c r="A73" s="12">
        <v>55</v>
      </c>
      <c r="B73" s="32">
        <v>123324</v>
      </c>
      <c r="C73" s="33">
        <v>13</v>
      </c>
      <c r="D73" s="33" t="s">
        <v>65</v>
      </c>
      <c r="E73" s="34" t="s">
        <v>114</v>
      </c>
      <c r="F73" s="34" t="s">
        <v>130</v>
      </c>
      <c r="G73" s="34" t="s">
        <v>128</v>
      </c>
      <c r="H73" s="32" t="s">
        <v>131</v>
      </c>
      <c r="I73" s="35">
        <v>22454779.949999999</v>
      </c>
      <c r="J73" s="35">
        <v>22454779.949999999</v>
      </c>
      <c r="K73" s="36">
        <f t="shared" si="29"/>
        <v>0.38146342868080529</v>
      </c>
      <c r="L73" s="36">
        <f t="shared" si="30"/>
        <v>0.38413021317233781</v>
      </c>
      <c r="M73" s="35">
        <v>8565677.3500000015</v>
      </c>
      <c r="N73" s="37">
        <f>'AXA 13'!T2</f>
        <v>17240117.75</v>
      </c>
      <c r="O73" s="37">
        <f t="shared" si="31"/>
        <v>3465141.3482604064</v>
      </c>
      <c r="P73" s="126">
        <v>22298889.949999999</v>
      </c>
      <c r="Q73" s="126">
        <f t="shared" si="32"/>
        <v>-155890</v>
      </c>
    </row>
    <row r="74" spans="1:17" ht="28.8" hidden="1" x14ac:dyDescent="0.3">
      <c r="A74" s="12">
        <v>56</v>
      </c>
      <c r="B74" s="5">
        <v>123325</v>
      </c>
      <c r="C74" s="13">
        <v>13</v>
      </c>
      <c r="D74" s="13" t="s">
        <v>65</v>
      </c>
      <c r="E74" s="2" t="s">
        <v>114</v>
      </c>
      <c r="F74" s="2" t="s">
        <v>132</v>
      </c>
      <c r="G74" s="2" t="s">
        <v>128</v>
      </c>
      <c r="H74" s="5" t="s">
        <v>133</v>
      </c>
      <c r="I74" s="3">
        <v>22998517.449999999</v>
      </c>
      <c r="J74" s="3">
        <v>22998517.449999999</v>
      </c>
      <c r="K74" s="14">
        <f t="shared" si="29"/>
        <v>0.6375929549319711</v>
      </c>
      <c r="L74" s="14">
        <f t="shared" si="30"/>
        <v>0.6375929549319711</v>
      </c>
      <c r="M74" s="22">
        <v>14663692.700000001</v>
      </c>
      <c r="N74" s="7">
        <f>'AXA 13'!T3</f>
        <v>4579314.03</v>
      </c>
      <c r="O74" s="7">
        <f t="shared" si="31"/>
        <v>920409.62957007624</v>
      </c>
      <c r="P74" s="125">
        <v>22998517.449999999</v>
      </c>
      <c r="Q74" s="85">
        <f t="shared" si="32"/>
        <v>0</v>
      </c>
    </row>
    <row r="75" spans="1:17" ht="43.2" hidden="1" x14ac:dyDescent="0.3">
      <c r="A75" s="12">
        <v>57</v>
      </c>
      <c r="B75" s="5">
        <v>125915</v>
      </c>
      <c r="C75" s="13">
        <v>13</v>
      </c>
      <c r="D75" s="13" t="s">
        <v>65</v>
      </c>
      <c r="E75" s="2" t="s">
        <v>114</v>
      </c>
      <c r="F75" s="2" t="s">
        <v>141</v>
      </c>
      <c r="G75" s="2" t="s">
        <v>142</v>
      </c>
      <c r="H75" s="5" t="s">
        <v>143</v>
      </c>
      <c r="I75" s="3">
        <v>20490976.940000001</v>
      </c>
      <c r="J75" s="3">
        <v>20489076.940000001</v>
      </c>
      <c r="K75" s="14">
        <f t="shared" si="29"/>
        <v>0.24883379494986654</v>
      </c>
      <c r="L75" s="14">
        <f t="shared" si="30"/>
        <v>0.24883379494986654</v>
      </c>
      <c r="M75" s="22">
        <v>5098374.7699999996</v>
      </c>
      <c r="N75" s="7">
        <f>'AXA 13'!T10</f>
        <v>10717406.92</v>
      </c>
      <c r="O75" s="7">
        <f t="shared" si="31"/>
        <v>2154122.7503869114</v>
      </c>
      <c r="P75" s="125">
        <v>20489076.940000001</v>
      </c>
      <c r="Q75" s="85">
        <f t="shared" si="32"/>
        <v>0</v>
      </c>
    </row>
    <row r="76" spans="1:17" ht="43.2" hidden="1" x14ac:dyDescent="0.3">
      <c r="A76" s="12">
        <v>58</v>
      </c>
      <c r="B76" s="5">
        <v>126058</v>
      </c>
      <c r="C76" s="13">
        <v>13</v>
      </c>
      <c r="D76" s="13" t="s">
        <v>65</v>
      </c>
      <c r="E76" s="2" t="s">
        <v>114</v>
      </c>
      <c r="F76" s="2" t="s">
        <v>144</v>
      </c>
      <c r="G76" s="2" t="s">
        <v>119</v>
      </c>
      <c r="H76" s="5" t="s">
        <v>145</v>
      </c>
      <c r="I76" s="3">
        <v>16898213.93</v>
      </c>
      <c r="J76" s="3">
        <v>15661008.109999999</v>
      </c>
      <c r="K76" s="14">
        <f t="shared" si="29"/>
        <v>0.60615179388985085</v>
      </c>
      <c r="L76" s="14">
        <f t="shared" si="30"/>
        <v>0.55936077398333306</v>
      </c>
      <c r="M76" s="22">
        <v>9492948.160000002</v>
      </c>
      <c r="N76" s="7">
        <f>'AXA 13'!T11</f>
        <v>2977819.9</v>
      </c>
      <c r="O76" s="7">
        <f t="shared" si="31"/>
        <v>598520.67212027416</v>
      </c>
      <c r="P76" s="125">
        <v>16971065.190000001</v>
      </c>
      <c r="Q76" s="85">
        <f t="shared" si="32"/>
        <v>1310057.0800000019</v>
      </c>
    </row>
    <row r="77" spans="1:17" ht="28.8" hidden="1" x14ac:dyDescent="0.3">
      <c r="A77" s="12">
        <v>59</v>
      </c>
      <c r="B77" s="5">
        <v>126521</v>
      </c>
      <c r="C77" s="13">
        <v>13</v>
      </c>
      <c r="D77" s="13" t="s">
        <v>65</v>
      </c>
      <c r="E77" s="2" t="s">
        <v>114</v>
      </c>
      <c r="F77" s="2" t="s">
        <v>146</v>
      </c>
      <c r="G77" s="2" t="s">
        <v>116</v>
      </c>
      <c r="H77" s="5" t="s">
        <v>126</v>
      </c>
      <c r="I77" s="3">
        <v>21905616.690000001</v>
      </c>
      <c r="J77" s="3">
        <v>20632635.359999999</v>
      </c>
      <c r="K77" s="14">
        <f t="shared" si="29"/>
        <v>0.16029943641673508</v>
      </c>
      <c r="L77" s="14">
        <f t="shared" si="30"/>
        <v>0.16029943641673508</v>
      </c>
      <c r="M77" s="22">
        <v>3307399.82</v>
      </c>
      <c r="N77" s="7">
        <f>'AXA 13'!T12</f>
        <v>1698567.4300000002</v>
      </c>
      <c r="O77" s="7">
        <f t="shared" si="31"/>
        <v>341400.0020099291</v>
      </c>
      <c r="P77" s="125">
        <v>20632635.359999999</v>
      </c>
      <c r="Q77" s="85">
        <f t="shared" si="32"/>
        <v>0</v>
      </c>
    </row>
    <row r="78" spans="1:17" ht="14.4" hidden="1" customHeight="1" x14ac:dyDescent="0.3">
      <c r="A78" s="131" t="s">
        <v>183</v>
      </c>
      <c r="B78" s="131"/>
      <c r="C78" s="131"/>
      <c r="D78" s="15"/>
      <c r="E78" s="16"/>
      <c r="F78" s="16"/>
      <c r="G78" s="16"/>
      <c r="H78" s="17"/>
      <c r="I78" s="19"/>
      <c r="J78" s="19">
        <f>SUBTOTAL(9,J65:J77)</f>
        <v>257681325.09999996</v>
      </c>
      <c r="K78" s="20"/>
      <c r="L78" s="20"/>
      <c r="M78" s="19">
        <f>SUBTOTAL(9,M65:M77)</f>
        <v>96571516.779999986</v>
      </c>
      <c r="N78" s="19">
        <f t="shared" ref="N78:O78" si="33">SUBTOTAL(9,N65:N77)</f>
        <v>100782465.89000002</v>
      </c>
      <c r="O78" s="19">
        <f t="shared" si="33"/>
        <v>20256560.587301265</v>
      </c>
      <c r="P78" s="19">
        <f>SUBTOTAL(9,P65:P77)</f>
        <v>263833532.11999995</v>
      </c>
      <c r="Q78" s="85">
        <f t="shared" si="32"/>
        <v>6152207.0199999809</v>
      </c>
    </row>
    <row r="79" spans="1:17" ht="30" hidden="1" customHeight="1" x14ac:dyDescent="0.3">
      <c r="A79" s="129" t="s">
        <v>197</v>
      </c>
      <c r="B79" s="129"/>
      <c r="C79" s="129"/>
      <c r="D79" s="129"/>
      <c r="E79" s="129"/>
      <c r="F79" s="112"/>
      <c r="G79" s="112"/>
      <c r="H79" s="112"/>
      <c r="I79" s="113"/>
      <c r="J79" s="113"/>
      <c r="K79" s="112"/>
      <c r="L79" s="112"/>
      <c r="M79" s="113">
        <f t="shared" ref="M79:N79" si="34">M78+M64+M60+M52+M49+M45+M41+M39+M37+M26+M22+M10+M8</f>
        <v>1032361887.11</v>
      </c>
      <c r="N79" s="113">
        <f t="shared" si="34"/>
        <v>652435978.69000006</v>
      </c>
      <c r="O79" s="113">
        <f>O78+O64+O60+O52+O49+O45+O41+O39+O37+O26+O22+O10+O8</f>
        <v>131135002.65109642</v>
      </c>
      <c r="P79" s="113">
        <f>SUBTOTAL(9,P8,P10,P11:P21,P23:P27:P36,P38,P40,P42:P44,P46:P48,P51,P50:P59,P61:P63,P65:P77)</f>
        <v>1739336902.3599997</v>
      </c>
      <c r="Q79" s="113">
        <f>SUBTOTAL(9,Q8,Q10,Q11:Q21,Q23:Q27:Q36,Q38,Q40,Q42:Q44,Q46:Q48,Q51,Q50:Q59,Q61:Q63,Q65:Q77)</f>
        <v>90653848.470000014</v>
      </c>
    </row>
    <row r="80" spans="1:17" x14ac:dyDescent="0.3">
      <c r="M80" s="1"/>
      <c r="P80" s="1"/>
    </row>
    <row r="81" spans="13:16" x14ac:dyDescent="0.3">
      <c r="M81" s="1"/>
      <c r="P81" s="1"/>
    </row>
    <row r="82" spans="13:16" x14ac:dyDescent="0.3">
      <c r="M82" s="1"/>
      <c r="P82" s="1"/>
    </row>
    <row r="83" spans="13:16" x14ac:dyDescent="0.3">
      <c r="M83" s="1"/>
      <c r="P83" s="1"/>
    </row>
    <row r="84" spans="13:16" x14ac:dyDescent="0.3">
      <c r="M84" s="1"/>
      <c r="O84" s="1">
        <f>N79/O79</f>
        <v>4.9753000000000007</v>
      </c>
      <c r="P84" s="1"/>
    </row>
    <row r="85" spans="13:16" x14ac:dyDescent="0.3">
      <c r="M85" s="1"/>
      <c r="P85" s="1"/>
    </row>
    <row r="86" spans="13:16" x14ac:dyDescent="0.3">
      <c r="M86" s="1"/>
      <c r="P86" s="1"/>
    </row>
    <row r="87" spans="13:16" x14ac:dyDescent="0.3">
      <c r="M87" s="1"/>
      <c r="P87" s="1"/>
    </row>
    <row r="88" spans="13:16" x14ac:dyDescent="0.3">
      <c r="M88" s="1"/>
      <c r="P88" s="1"/>
    </row>
    <row r="89" spans="13:16" x14ac:dyDescent="0.3">
      <c r="M89" s="1"/>
      <c r="P89" s="1"/>
    </row>
    <row r="90" spans="13:16" x14ac:dyDescent="0.3">
      <c r="M90" s="1"/>
      <c r="P90" s="1"/>
    </row>
    <row r="91" spans="13:16" x14ac:dyDescent="0.3">
      <c r="M91" s="1"/>
      <c r="P91" s="1"/>
    </row>
    <row r="92" spans="13:16" x14ac:dyDescent="0.3">
      <c r="M92" s="1"/>
      <c r="P92" s="1"/>
    </row>
    <row r="93" spans="13:16" x14ac:dyDescent="0.3">
      <c r="M93" s="1"/>
      <c r="P93" s="1"/>
    </row>
    <row r="94" spans="13:16" x14ac:dyDescent="0.3">
      <c r="M94" s="1"/>
      <c r="P94" s="1"/>
    </row>
    <row r="95" spans="13:16" x14ac:dyDescent="0.3">
      <c r="M95" s="1"/>
      <c r="P95" s="1"/>
    </row>
    <row r="96" spans="13:16" x14ac:dyDescent="0.3">
      <c r="M96" s="1"/>
      <c r="P96" s="1"/>
    </row>
    <row r="97" spans="13:16" x14ac:dyDescent="0.3">
      <c r="M97" s="1"/>
      <c r="P97" s="1"/>
    </row>
    <row r="98" spans="13:16" x14ac:dyDescent="0.3">
      <c r="P98" s="1"/>
    </row>
  </sheetData>
  <autoFilter ref="A5:M78" xr:uid="{00000000-0001-0000-0000-000000000000}"/>
  <mergeCells count="25">
    <mergeCell ref="A22:C22"/>
    <mergeCell ref="A52:C52"/>
    <mergeCell ref="A60:C60"/>
    <mergeCell ref="F4:L4"/>
    <mergeCell ref="A64:C64"/>
    <mergeCell ref="A39:C39"/>
    <mergeCell ref="A41:C41"/>
    <mergeCell ref="A45:C45"/>
    <mergeCell ref="A49:C49"/>
    <mergeCell ref="A79:E79"/>
    <mergeCell ref="L5:L6"/>
    <mergeCell ref="K5:K6"/>
    <mergeCell ref="A5:A6"/>
    <mergeCell ref="B5:B6"/>
    <mergeCell ref="C5:C6"/>
    <mergeCell ref="D5:D6"/>
    <mergeCell ref="E5:E6"/>
    <mergeCell ref="F5:F6"/>
    <mergeCell ref="A8:C8"/>
    <mergeCell ref="A26:C26"/>
    <mergeCell ref="A37:C37"/>
    <mergeCell ref="G5:G6"/>
    <mergeCell ref="H5:H6"/>
    <mergeCell ref="A78:C78"/>
    <mergeCell ref="A10:C10"/>
  </mergeCells>
  <pageMargins left="0.25" right="0.25"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87E61-DF2E-45B0-A2B8-1B6595932CA9}">
  <sheetPr>
    <pageSetUpPr fitToPage="1"/>
  </sheetPr>
  <dimension ref="A1:AY27"/>
  <sheetViews>
    <sheetView topLeftCell="H4" zoomScale="90" zoomScaleNormal="90" workbookViewId="0">
      <selection activeCell="T30" sqref="T30"/>
    </sheetView>
  </sheetViews>
  <sheetFormatPr defaultColWidth="8.88671875" defaultRowHeight="12" x14ac:dyDescent="0.3"/>
  <cols>
    <col min="1" max="2" width="9" style="44" bestFit="1" customWidth="1"/>
    <col min="3" max="3" width="8.88671875" style="44" customWidth="1"/>
    <col min="4" max="6" width="8.88671875" style="44" hidden="1" customWidth="1"/>
    <col min="7" max="7" width="20.44140625" style="44" customWidth="1"/>
    <col min="8" max="8" width="14.21875" style="44" customWidth="1"/>
    <col min="9" max="9" width="8.88671875" style="44" hidden="1" customWidth="1"/>
    <col min="10" max="12" width="10.109375" style="44" hidden="1" customWidth="1"/>
    <col min="13" max="13" width="12.109375" style="44" customWidth="1"/>
    <col min="14" max="14" width="11.88671875" style="44" customWidth="1"/>
    <col min="15" max="15" width="12.44140625" style="44" hidden="1" customWidth="1"/>
    <col min="16" max="16" width="11.44140625" style="44" hidden="1" customWidth="1"/>
    <col min="17" max="17" width="10" style="44" hidden="1" customWidth="1"/>
    <col min="18" max="18" width="11.109375" style="44" customWidth="1"/>
    <col min="19" max="19" width="13.6640625" style="45" bestFit="1" customWidth="1"/>
    <col min="20" max="20" width="13.88671875" style="72" bestFit="1" customWidth="1"/>
    <col min="21" max="21" width="13.6640625" style="81" bestFit="1" customWidth="1"/>
    <col min="22" max="22" width="12.77734375" style="44" bestFit="1" customWidth="1"/>
    <col min="23" max="23" width="12.21875" style="44" customWidth="1"/>
    <col min="24" max="24" width="17.88671875" style="44" customWidth="1"/>
    <col min="25" max="25" width="11.5546875" style="44" bestFit="1" customWidth="1"/>
    <col min="26" max="26" width="14.88671875" style="44" customWidth="1"/>
    <col min="27" max="27" width="12.109375" style="44" customWidth="1"/>
    <col min="28" max="28" width="12.5546875" style="44" customWidth="1"/>
    <col min="29" max="30" width="11.5546875" style="44" bestFit="1" customWidth="1"/>
    <col min="31" max="31" width="13.109375" style="44" customWidth="1"/>
    <col min="32" max="32" width="13.88671875" style="44" customWidth="1"/>
    <col min="33" max="33" width="12.33203125" style="44" bestFit="1" customWidth="1"/>
    <col min="34" max="34" width="11.33203125" style="44" bestFit="1" customWidth="1"/>
    <col min="35" max="35" width="11.77734375" style="44" bestFit="1" customWidth="1"/>
    <col min="36" max="36" width="8.88671875" style="44"/>
    <col min="37" max="37" width="11.33203125" style="44" bestFit="1" customWidth="1"/>
    <col min="38" max="38" width="14" style="44" customWidth="1"/>
    <col min="39" max="39" width="11.44140625" style="44" bestFit="1" customWidth="1"/>
    <col min="40" max="40" width="8.88671875" style="44"/>
    <col min="41" max="42" width="9.88671875" style="44" bestFit="1" customWidth="1"/>
    <col min="43" max="43" width="10" style="44" bestFit="1" customWidth="1"/>
    <col min="44" max="44" width="8.88671875" style="44"/>
    <col min="45" max="45" width="10.109375" style="44" bestFit="1" customWidth="1"/>
    <col min="46" max="46" width="9" style="44" bestFit="1" customWidth="1"/>
    <col min="47" max="47" width="12.33203125" style="44" bestFit="1" customWidth="1"/>
    <col min="48" max="51" width="0" style="44" hidden="1" customWidth="1"/>
    <col min="52" max="16384" width="8.88671875" style="44"/>
  </cols>
  <sheetData>
    <row r="1" spans="1:51" ht="66" x14ac:dyDescent="0.3">
      <c r="A1" s="68" t="s">
        <v>0</v>
      </c>
      <c r="B1" s="68" t="s">
        <v>1</v>
      </c>
      <c r="C1" s="67" t="s">
        <v>2</v>
      </c>
      <c r="D1" s="67" t="s">
        <v>3</v>
      </c>
      <c r="E1" s="67" t="s">
        <v>272</v>
      </c>
      <c r="F1" s="67" t="s">
        <v>4</v>
      </c>
      <c r="G1" s="67" t="s">
        <v>5</v>
      </c>
      <c r="H1" s="67" t="s">
        <v>6</v>
      </c>
      <c r="I1" s="66" t="s">
        <v>271</v>
      </c>
      <c r="J1" s="64" t="s">
        <v>270</v>
      </c>
      <c r="K1" s="65" t="s">
        <v>7</v>
      </c>
      <c r="L1" s="64" t="s">
        <v>269</v>
      </c>
      <c r="M1" s="63" t="s">
        <v>268</v>
      </c>
      <c r="N1" s="62" t="s">
        <v>267</v>
      </c>
      <c r="O1" s="61" t="s">
        <v>266</v>
      </c>
      <c r="P1" s="61" t="s">
        <v>265</v>
      </c>
      <c r="Q1" s="61" t="s">
        <v>264</v>
      </c>
      <c r="R1" s="61" t="s">
        <v>263</v>
      </c>
      <c r="S1" s="60" t="s">
        <v>273</v>
      </c>
      <c r="T1" s="61" t="s">
        <v>246</v>
      </c>
      <c r="U1" s="77" t="s">
        <v>262</v>
      </c>
      <c r="V1" s="59" t="s">
        <v>245</v>
      </c>
      <c r="W1" s="59" t="s">
        <v>261</v>
      </c>
      <c r="X1" s="59" t="s">
        <v>260</v>
      </c>
      <c r="Y1" s="59" t="s">
        <v>259</v>
      </c>
      <c r="Z1" s="59" t="s">
        <v>246</v>
      </c>
      <c r="AA1" s="59" t="s">
        <v>245</v>
      </c>
      <c r="AB1" s="59" t="s">
        <v>258</v>
      </c>
      <c r="AC1" s="59" t="s">
        <v>257</v>
      </c>
      <c r="AD1" s="59" t="s">
        <v>246</v>
      </c>
      <c r="AE1" s="59" t="s">
        <v>245</v>
      </c>
      <c r="AF1" s="59" t="s">
        <v>256</v>
      </c>
      <c r="AG1" s="59" t="s">
        <v>255</v>
      </c>
      <c r="AH1" s="59" t="s">
        <v>246</v>
      </c>
      <c r="AI1" s="59" t="s">
        <v>245</v>
      </c>
      <c r="AJ1" s="59" t="s">
        <v>254</v>
      </c>
      <c r="AK1" s="59" t="s">
        <v>253</v>
      </c>
      <c r="AL1" s="59" t="s">
        <v>246</v>
      </c>
      <c r="AM1" s="59" t="s">
        <v>245</v>
      </c>
      <c r="AN1" s="59" t="s">
        <v>252</v>
      </c>
      <c r="AO1" s="59" t="s">
        <v>251</v>
      </c>
      <c r="AP1" s="59" t="s">
        <v>246</v>
      </c>
      <c r="AQ1" s="59" t="s">
        <v>245</v>
      </c>
      <c r="AR1" s="59" t="s">
        <v>250</v>
      </c>
      <c r="AS1" s="59" t="s">
        <v>249</v>
      </c>
      <c r="AT1" s="59" t="s">
        <v>246</v>
      </c>
      <c r="AU1" s="59" t="s">
        <v>245</v>
      </c>
      <c r="AV1" s="59" t="s">
        <v>248</v>
      </c>
      <c r="AW1" s="59" t="s">
        <v>247</v>
      </c>
      <c r="AX1" s="59" t="s">
        <v>246</v>
      </c>
      <c r="AY1" s="59" t="s">
        <v>245</v>
      </c>
    </row>
    <row r="2" spans="1:51" ht="48" x14ac:dyDescent="0.3">
      <c r="A2" s="51">
        <v>1</v>
      </c>
      <c r="B2" s="51">
        <v>123324</v>
      </c>
      <c r="C2" s="51">
        <v>13</v>
      </c>
      <c r="D2" s="51">
        <v>13.1</v>
      </c>
      <c r="E2" s="51" t="s">
        <v>211</v>
      </c>
      <c r="F2" s="51" t="s">
        <v>114</v>
      </c>
      <c r="G2" s="51" t="s">
        <v>130</v>
      </c>
      <c r="H2" s="51" t="s">
        <v>128</v>
      </c>
      <c r="I2" s="51">
        <v>78</v>
      </c>
      <c r="J2" s="76">
        <v>42917</v>
      </c>
      <c r="K2" s="76">
        <v>43781</v>
      </c>
      <c r="L2" s="76">
        <v>45291</v>
      </c>
      <c r="M2" s="50">
        <v>22454779.949999999</v>
      </c>
      <c r="N2" s="50">
        <v>22454779.949999999</v>
      </c>
      <c r="O2" s="50">
        <v>19086562.949999999</v>
      </c>
      <c r="P2" s="50">
        <v>2919121.35</v>
      </c>
      <c r="Q2" s="50">
        <v>449095.65</v>
      </c>
      <c r="R2" s="50">
        <v>0</v>
      </c>
      <c r="S2" s="52">
        <f>Y2+AC2+AG2+AK2+AO2+AS2</f>
        <v>5214661.91</v>
      </c>
      <c r="T2" s="69">
        <f>Z2+AD2+AH2+AL2+AP2+AT2</f>
        <v>17240117.75</v>
      </c>
      <c r="U2" s="78">
        <f t="shared" ref="U2:U13" si="0">T2/4.9753</f>
        <v>3465141.3482604064</v>
      </c>
      <c r="V2" s="73">
        <f t="shared" ref="V2:V13" si="1">AA2+AE2+AI2+AM2+AQ2+AU2+AY2</f>
        <v>0</v>
      </c>
      <c r="W2" s="49">
        <f t="shared" ref="W2:W14" si="2">V2/4.942</f>
        <v>0</v>
      </c>
      <c r="X2" s="50" t="s">
        <v>244</v>
      </c>
      <c r="Y2" s="50">
        <v>4887310.58</v>
      </c>
      <c r="Z2" s="50">
        <v>16722185.550000001</v>
      </c>
      <c r="AA2" s="49"/>
      <c r="AB2" s="51" t="s">
        <v>243</v>
      </c>
      <c r="AC2" s="50">
        <v>327351.33</v>
      </c>
      <c r="AD2" s="50">
        <v>517932.2</v>
      </c>
      <c r="AE2" s="49">
        <v>0</v>
      </c>
      <c r="AF2" s="51"/>
      <c r="AG2" s="50"/>
      <c r="AH2" s="50"/>
      <c r="AI2" s="49"/>
      <c r="AJ2" s="51"/>
      <c r="AK2" s="50"/>
      <c r="AL2" s="50"/>
      <c r="AM2" s="49"/>
      <c r="AN2" s="51"/>
      <c r="AO2" s="50"/>
      <c r="AP2" s="50"/>
      <c r="AQ2" s="49"/>
      <c r="AR2" s="51"/>
      <c r="AS2" s="50"/>
      <c r="AT2" s="50"/>
      <c r="AU2" s="49"/>
      <c r="AV2" s="51"/>
      <c r="AW2" s="50"/>
      <c r="AX2" s="50"/>
      <c r="AY2" s="49"/>
    </row>
    <row r="3" spans="1:51" ht="36" x14ac:dyDescent="0.3">
      <c r="A3" s="51">
        <v>2</v>
      </c>
      <c r="B3" s="51">
        <v>123325</v>
      </c>
      <c r="C3" s="51">
        <v>13</v>
      </c>
      <c r="D3" s="51">
        <v>13.1</v>
      </c>
      <c r="E3" s="51" t="s">
        <v>211</v>
      </c>
      <c r="F3" s="51" t="s">
        <v>114</v>
      </c>
      <c r="G3" s="51" t="s">
        <v>132</v>
      </c>
      <c r="H3" s="51" t="s">
        <v>128</v>
      </c>
      <c r="I3" s="51">
        <v>70</v>
      </c>
      <c r="J3" s="76">
        <v>43160</v>
      </c>
      <c r="K3" s="76">
        <v>44042</v>
      </c>
      <c r="L3" s="76">
        <v>45291</v>
      </c>
      <c r="M3" s="50">
        <v>22998517.449999999</v>
      </c>
      <c r="N3" s="50">
        <v>22998517.449999999</v>
      </c>
      <c r="O3" s="50">
        <v>19548739.859999999</v>
      </c>
      <c r="P3" s="50">
        <v>2989806.28</v>
      </c>
      <c r="Q3" s="50">
        <v>459971.31</v>
      </c>
      <c r="R3" s="50">
        <v>0</v>
      </c>
      <c r="S3" s="52">
        <f t="shared" ref="S3:S14" si="3">Y3+AC3+AG3+AK3+AO3+AS3</f>
        <v>13060614.479999999</v>
      </c>
      <c r="T3" s="69">
        <f t="shared" ref="T3:T14" si="4">Z3+AD3+AH3+AL3+AP3+AT3</f>
        <v>4579314.03</v>
      </c>
      <c r="U3" s="78">
        <f t="shared" si="0"/>
        <v>920409.62957007624</v>
      </c>
      <c r="V3" s="73">
        <f t="shared" si="1"/>
        <v>5282582.67</v>
      </c>
      <c r="W3" s="49">
        <f t="shared" si="2"/>
        <v>1068915.9591258599</v>
      </c>
      <c r="X3" s="50" t="s">
        <v>237</v>
      </c>
      <c r="Y3" s="50">
        <v>214384.11</v>
      </c>
      <c r="AA3" s="49">
        <v>4624798.99</v>
      </c>
      <c r="AB3" s="51" t="s">
        <v>242</v>
      </c>
      <c r="AC3" s="50">
        <v>185644.01</v>
      </c>
      <c r="AD3" s="50">
        <v>4579314.03</v>
      </c>
      <c r="AE3" s="49">
        <v>0</v>
      </c>
      <c r="AF3" s="51" t="s">
        <v>241</v>
      </c>
      <c r="AG3" s="50">
        <v>12549648.689999999</v>
      </c>
      <c r="AH3" s="50">
        <v>0</v>
      </c>
      <c r="AI3" s="49">
        <v>0</v>
      </c>
      <c r="AJ3" s="51" t="s">
        <v>240</v>
      </c>
      <c r="AK3" s="50">
        <v>110937.67</v>
      </c>
      <c r="AM3" s="49">
        <v>657783.68000000005</v>
      </c>
      <c r="AN3" s="51"/>
      <c r="AO3" s="50"/>
      <c r="AP3" s="50"/>
      <c r="AQ3" s="49"/>
      <c r="AR3" s="51"/>
      <c r="AS3" s="50"/>
      <c r="AT3" s="50"/>
      <c r="AU3" s="49"/>
      <c r="AV3" s="51"/>
      <c r="AW3" s="50"/>
      <c r="AX3" s="50"/>
      <c r="AY3" s="49"/>
    </row>
    <row r="4" spans="1:51" s="55" customFormat="1" ht="60" x14ac:dyDescent="0.3">
      <c r="A4" s="51">
        <v>3</v>
      </c>
      <c r="B4" s="51">
        <v>123418</v>
      </c>
      <c r="C4" s="51">
        <v>13</v>
      </c>
      <c r="D4" s="51">
        <v>13.1</v>
      </c>
      <c r="E4" s="51" t="s">
        <v>211</v>
      </c>
      <c r="F4" s="51" t="s">
        <v>42</v>
      </c>
      <c r="G4" s="51" t="s">
        <v>66</v>
      </c>
      <c r="H4" s="51" t="s">
        <v>44</v>
      </c>
      <c r="I4" s="51">
        <v>70</v>
      </c>
      <c r="J4" s="76">
        <v>43166</v>
      </c>
      <c r="K4" s="76">
        <v>44041</v>
      </c>
      <c r="L4" s="76">
        <v>45291</v>
      </c>
      <c r="M4" s="50">
        <v>17984065.109999999</v>
      </c>
      <c r="N4" s="50">
        <v>17943164.719999999</v>
      </c>
      <c r="O4" s="50">
        <v>15251690.01</v>
      </c>
      <c r="P4" s="50">
        <v>2332611.42</v>
      </c>
      <c r="Q4" s="50">
        <v>358863.29</v>
      </c>
      <c r="R4" s="50">
        <v>40900.39</v>
      </c>
      <c r="S4" s="52">
        <f t="shared" si="3"/>
        <v>12160585.34</v>
      </c>
      <c r="T4" s="69">
        <f t="shared" si="4"/>
        <v>5782579.379999999</v>
      </c>
      <c r="U4" s="78">
        <f t="shared" si="0"/>
        <v>1162257.4276928022</v>
      </c>
      <c r="V4" s="73">
        <f t="shared" si="1"/>
        <v>0</v>
      </c>
      <c r="W4" s="49">
        <f t="shared" si="2"/>
        <v>0</v>
      </c>
      <c r="X4" s="50" t="s">
        <v>239</v>
      </c>
      <c r="Y4" s="50">
        <v>12160585.34</v>
      </c>
      <c r="Z4" s="50">
        <f>'AXA 13'!N4-'AXA 13'!Y4</f>
        <v>5782579.379999999</v>
      </c>
      <c r="AA4" s="49"/>
      <c r="AB4" s="51"/>
      <c r="AC4" s="50"/>
      <c r="AD4" s="50"/>
      <c r="AE4" s="49"/>
      <c r="AF4" s="51"/>
      <c r="AG4" s="50"/>
      <c r="AH4" s="50"/>
      <c r="AI4" s="49"/>
      <c r="AJ4" s="51"/>
      <c r="AK4" s="50"/>
      <c r="AL4" s="50"/>
      <c r="AM4" s="49"/>
      <c r="AN4" s="51"/>
      <c r="AO4" s="50"/>
      <c r="AP4" s="50"/>
      <c r="AQ4" s="49"/>
      <c r="AR4" s="51"/>
      <c r="AS4" s="50"/>
      <c r="AT4" s="50"/>
      <c r="AU4" s="49"/>
      <c r="AV4" s="58"/>
      <c r="AW4" s="57"/>
      <c r="AX4" s="57"/>
      <c r="AY4" s="56"/>
    </row>
    <row r="5" spans="1:51" s="55" customFormat="1" ht="48" x14ac:dyDescent="0.3">
      <c r="A5" s="51">
        <v>4</v>
      </c>
      <c r="B5" s="51">
        <v>123868</v>
      </c>
      <c r="C5" s="51">
        <v>13</v>
      </c>
      <c r="D5" s="51">
        <v>13.1</v>
      </c>
      <c r="E5" s="51" t="s">
        <v>211</v>
      </c>
      <c r="F5" s="51" t="s">
        <v>42</v>
      </c>
      <c r="G5" s="51" t="s">
        <v>70</v>
      </c>
      <c r="H5" s="51" t="s">
        <v>60</v>
      </c>
      <c r="I5" s="51">
        <v>72</v>
      </c>
      <c r="J5" s="76">
        <v>43101</v>
      </c>
      <c r="K5" s="76">
        <v>44298</v>
      </c>
      <c r="L5" s="76">
        <v>45291</v>
      </c>
      <c r="M5" s="50">
        <v>27114421.949999999</v>
      </c>
      <c r="N5" s="50">
        <v>23255980.300000001</v>
      </c>
      <c r="O5" s="50">
        <v>19767583.239999998</v>
      </c>
      <c r="P5" s="50">
        <v>3023277.41</v>
      </c>
      <c r="Q5" s="50">
        <v>465119.65</v>
      </c>
      <c r="R5" s="50">
        <v>3858441.65</v>
      </c>
      <c r="S5" s="52">
        <f t="shared" si="3"/>
        <v>3370912.28</v>
      </c>
      <c r="T5" s="69">
        <f t="shared" si="4"/>
        <v>10248588.33</v>
      </c>
      <c r="U5" s="78">
        <f t="shared" si="0"/>
        <v>2059893.5400880349</v>
      </c>
      <c r="V5" s="73">
        <f t="shared" si="1"/>
        <v>9636479.6899999995</v>
      </c>
      <c r="W5" s="49">
        <f t="shared" si="2"/>
        <v>1949914.9514366651</v>
      </c>
      <c r="X5" s="50" t="s">
        <v>238</v>
      </c>
      <c r="Y5" s="50">
        <v>167994.65</v>
      </c>
      <c r="Z5" s="50">
        <v>10248588.33</v>
      </c>
      <c r="AA5" s="49">
        <v>0</v>
      </c>
      <c r="AB5" s="50" t="s">
        <v>237</v>
      </c>
      <c r="AC5" s="50">
        <v>136674.65</v>
      </c>
      <c r="AD5" s="50">
        <v>0</v>
      </c>
      <c r="AE5" s="49">
        <v>2911111.85</v>
      </c>
      <c r="AF5" s="51" t="s">
        <v>234</v>
      </c>
      <c r="AG5" s="50">
        <v>3066242.98</v>
      </c>
      <c r="AH5" s="50">
        <v>0</v>
      </c>
      <c r="AI5" s="49">
        <v>6725367.8399999999</v>
      </c>
      <c r="AJ5" s="51"/>
      <c r="AK5" s="50"/>
      <c r="AL5" s="50"/>
      <c r="AM5" s="49"/>
      <c r="AN5" s="51"/>
      <c r="AO5" s="50"/>
      <c r="AP5" s="50"/>
      <c r="AQ5" s="49"/>
      <c r="AR5" s="51"/>
      <c r="AS5" s="50"/>
      <c r="AT5" s="50"/>
      <c r="AU5" s="49"/>
      <c r="AV5" s="58"/>
      <c r="AW5" s="57"/>
      <c r="AX5" s="57"/>
      <c r="AY5" s="56"/>
    </row>
    <row r="6" spans="1:51" s="55" customFormat="1" ht="60" x14ac:dyDescent="0.3">
      <c r="A6" s="51">
        <v>5</v>
      </c>
      <c r="B6" s="51">
        <v>124342</v>
      </c>
      <c r="C6" s="51">
        <v>13</v>
      </c>
      <c r="D6" s="51">
        <v>13.1</v>
      </c>
      <c r="E6" s="51" t="s">
        <v>211</v>
      </c>
      <c r="F6" s="51" t="s">
        <v>42</v>
      </c>
      <c r="G6" s="51" t="s">
        <v>77</v>
      </c>
      <c r="H6" s="51" t="s">
        <v>60</v>
      </c>
      <c r="I6" s="51">
        <v>77</v>
      </c>
      <c r="J6" s="76">
        <v>42948</v>
      </c>
      <c r="K6" s="76">
        <v>44237</v>
      </c>
      <c r="L6" s="76">
        <v>45291</v>
      </c>
      <c r="M6" s="50">
        <v>17846468.75</v>
      </c>
      <c r="N6" s="50">
        <v>17775953.350000001</v>
      </c>
      <c r="O6" s="50">
        <v>15109560.35</v>
      </c>
      <c r="P6" s="50">
        <v>2310873.9300000002</v>
      </c>
      <c r="Q6" s="50">
        <v>355519.07</v>
      </c>
      <c r="R6" s="50">
        <v>70515.399999999994</v>
      </c>
      <c r="S6" s="52">
        <f t="shared" si="3"/>
        <v>9602886.0700000003</v>
      </c>
      <c r="T6" s="69">
        <f t="shared" si="4"/>
        <v>10126808.41</v>
      </c>
      <c r="U6" s="78">
        <f t="shared" si="0"/>
        <v>2035416.640202601</v>
      </c>
      <c r="V6" s="73">
        <f t="shared" si="1"/>
        <v>1625138.22</v>
      </c>
      <c r="W6" s="49">
        <f t="shared" si="2"/>
        <v>328842.21367867256</v>
      </c>
      <c r="X6" s="50" t="s">
        <v>236</v>
      </c>
      <c r="Y6" s="50">
        <v>5141180.2300000004</v>
      </c>
      <c r="Z6" s="50">
        <v>5306405.2</v>
      </c>
      <c r="AA6" s="49">
        <v>0</v>
      </c>
      <c r="AB6" s="51" t="s">
        <v>235</v>
      </c>
      <c r="AC6" s="50">
        <v>119128.4</v>
      </c>
      <c r="AD6" s="50">
        <v>4820403.21</v>
      </c>
      <c r="AE6" s="49">
        <v>0</v>
      </c>
      <c r="AF6" s="51" t="s">
        <v>234</v>
      </c>
      <c r="AG6" s="50">
        <v>4342577.4400000004</v>
      </c>
      <c r="AH6" s="50">
        <v>0</v>
      </c>
      <c r="AI6" s="49">
        <v>1625138.22</v>
      </c>
      <c r="AJ6" s="51"/>
      <c r="AK6" s="50"/>
      <c r="AL6" s="50"/>
      <c r="AM6" s="49"/>
      <c r="AN6" s="51"/>
      <c r="AO6" s="50"/>
      <c r="AP6" s="50"/>
      <c r="AQ6" s="49"/>
      <c r="AR6" s="51"/>
      <c r="AS6" s="50"/>
      <c r="AT6" s="50"/>
      <c r="AU6" s="49"/>
      <c r="AV6" s="58"/>
      <c r="AW6" s="57"/>
      <c r="AX6" s="57"/>
      <c r="AY6" s="56"/>
    </row>
    <row r="7" spans="1:51" s="55" customFormat="1" ht="84" x14ac:dyDescent="0.3">
      <c r="A7" s="51">
        <v>6</v>
      </c>
      <c r="B7" s="51">
        <v>125421</v>
      </c>
      <c r="C7" s="51">
        <v>13</v>
      </c>
      <c r="D7" s="51">
        <v>13.1</v>
      </c>
      <c r="E7" s="51" t="s">
        <v>211</v>
      </c>
      <c r="F7" s="51" t="s">
        <v>42</v>
      </c>
      <c r="G7" s="51" t="s">
        <v>81</v>
      </c>
      <c r="H7" s="51" t="s">
        <v>44</v>
      </c>
      <c r="I7" s="51">
        <v>102</v>
      </c>
      <c r="J7" s="76">
        <v>42194</v>
      </c>
      <c r="K7" s="76">
        <v>44187</v>
      </c>
      <c r="L7" s="76">
        <v>45291</v>
      </c>
      <c r="M7" s="50">
        <v>14298093.85</v>
      </c>
      <c r="N7" s="50">
        <v>13954859.689999999</v>
      </c>
      <c r="O7" s="50">
        <v>11861630.76</v>
      </c>
      <c r="P7" s="50">
        <v>1814131.73</v>
      </c>
      <c r="Q7" s="50">
        <v>279097.2</v>
      </c>
      <c r="R7" s="50">
        <v>343234.16</v>
      </c>
      <c r="S7" s="52">
        <f t="shared" si="3"/>
        <v>9173888.2300000004</v>
      </c>
      <c r="T7" s="69">
        <f t="shared" si="4"/>
        <v>4780971.459999999</v>
      </c>
      <c r="U7" s="78">
        <f t="shared" si="0"/>
        <v>960941.34223061905</v>
      </c>
      <c r="V7" s="73">
        <f t="shared" si="1"/>
        <v>0</v>
      </c>
      <c r="W7" s="49">
        <f t="shared" si="2"/>
        <v>0</v>
      </c>
      <c r="X7" s="50" t="s">
        <v>233</v>
      </c>
      <c r="Y7" s="50">
        <v>9173888.2300000004</v>
      </c>
      <c r="Z7" s="50">
        <f>'AXA 13'!N7-'AXA 13'!Y7</f>
        <v>4780971.459999999</v>
      </c>
      <c r="AA7" s="49">
        <v>0</v>
      </c>
      <c r="AB7" s="44"/>
      <c r="AC7" s="50"/>
      <c r="AD7" s="50"/>
      <c r="AE7" s="49"/>
      <c r="AF7" s="51"/>
      <c r="AG7" s="50"/>
      <c r="AH7" s="50"/>
      <c r="AI7" s="49"/>
      <c r="AJ7" s="51"/>
      <c r="AK7" s="50"/>
      <c r="AL7" s="50"/>
      <c r="AM7" s="49"/>
      <c r="AN7" s="51"/>
      <c r="AO7" s="50"/>
      <c r="AP7" s="50"/>
      <c r="AQ7" s="49"/>
      <c r="AR7" s="51"/>
      <c r="AS7" s="50"/>
      <c r="AT7" s="50"/>
      <c r="AU7" s="49"/>
      <c r="AV7" s="58"/>
      <c r="AW7" s="57"/>
      <c r="AX7" s="57"/>
      <c r="AY7" s="56"/>
    </row>
    <row r="8" spans="1:51" s="55" customFormat="1" ht="72" x14ac:dyDescent="0.3">
      <c r="A8" s="51">
        <v>7</v>
      </c>
      <c r="B8" s="51">
        <v>125834</v>
      </c>
      <c r="C8" s="51">
        <v>13</v>
      </c>
      <c r="D8" s="51">
        <v>13.1</v>
      </c>
      <c r="E8" s="51" t="s">
        <v>211</v>
      </c>
      <c r="F8" s="51" t="s">
        <v>42</v>
      </c>
      <c r="G8" s="51" t="s">
        <v>82</v>
      </c>
      <c r="H8" s="51" t="s">
        <v>83</v>
      </c>
      <c r="I8" s="51">
        <v>96</v>
      </c>
      <c r="J8" s="76">
        <v>42370</v>
      </c>
      <c r="K8" s="76">
        <v>44252</v>
      </c>
      <c r="L8" s="76">
        <v>45291</v>
      </c>
      <c r="M8" s="50">
        <v>25172957.059999999</v>
      </c>
      <c r="N8" s="50">
        <v>23264861.129999999</v>
      </c>
      <c r="O8" s="50">
        <v>19775131.989999998</v>
      </c>
      <c r="P8" s="50">
        <v>3024431.92</v>
      </c>
      <c r="Q8" s="50">
        <v>465297.22</v>
      </c>
      <c r="R8" s="50">
        <v>1908095.93</v>
      </c>
      <c r="S8" s="52">
        <f t="shared" si="3"/>
        <v>1603389.92</v>
      </c>
      <c r="T8" s="69">
        <f t="shared" si="4"/>
        <v>7477623.7000000002</v>
      </c>
      <c r="U8" s="78">
        <f t="shared" si="0"/>
        <v>1502949.3095893716</v>
      </c>
      <c r="V8" s="73">
        <f t="shared" si="1"/>
        <v>14183847.51</v>
      </c>
      <c r="W8" s="49">
        <f t="shared" si="2"/>
        <v>2870062.2237960338</v>
      </c>
      <c r="X8" s="50" t="s">
        <v>232</v>
      </c>
      <c r="Y8" s="50">
        <v>260428.5</v>
      </c>
      <c r="Z8" s="50">
        <v>7477623.7000000002</v>
      </c>
      <c r="AA8" s="49">
        <v>0</v>
      </c>
      <c r="AB8" s="51" t="s">
        <v>231</v>
      </c>
      <c r="AC8" s="50">
        <v>272988.15999999997</v>
      </c>
      <c r="AD8" s="50">
        <v>0</v>
      </c>
      <c r="AE8" s="49">
        <v>2065499.87</v>
      </c>
      <c r="AF8" s="51" t="s">
        <v>230</v>
      </c>
      <c r="AG8" s="50">
        <v>359797.66</v>
      </c>
      <c r="AH8" s="50">
        <v>0</v>
      </c>
      <c r="AI8" s="49">
        <v>2608680.54</v>
      </c>
      <c r="AJ8" s="51" t="s">
        <v>229</v>
      </c>
      <c r="AK8" s="50">
        <v>65938.28</v>
      </c>
      <c r="AL8" s="50">
        <v>0</v>
      </c>
      <c r="AM8" s="49">
        <v>1115013.08</v>
      </c>
      <c r="AN8" s="51" t="s">
        <v>228</v>
      </c>
      <c r="AO8" s="50">
        <v>55595.02</v>
      </c>
      <c r="AP8" s="50">
        <v>0</v>
      </c>
      <c r="AQ8" s="49">
        <v>513874</v>
      </c>
      <c r="AR8" s="51" t="s">
        <v>227</v>
      </c>
      <c r="AS8" s="50">
        <v>588642.30000000005</v>
      </c>
      <c r="AT8" s="50">
        <v>0</v>
      </c>
      <c r="AU8" s="49">
        <v>7880780.0199999996</v>
      </c>
      <c r="AV8" s="58"/>
      <c r="AW8" s="57"/>
      <c r="AX8" s="57"/>
      <c r="AY8" s="56"/>
    </row>
    <row r="9" spans="1:51" ht="60" x14ac:dyDescent="0.3">
      <c r="A9" s="51">
        <v>8</v>
      </c>
      <c r="B9" s="51">
        <v>125835</v>
      </c>
      <c r="C9" s="51">
        <v>13</v>
      </c>
      <c r="D9" s="51">
        <v>13.1</v>
      </c>
      <c r="E9" s="51" t="s">
        <v>211</v>
      </c>
      <c r="F9" s="51" t="s">
        <v>42</v>
      </c>
      <c r="G9" s="51" t="s">
        <v>85</v>
      </c>
      <c r="H9" s="51" t="s">
        <v>83</v>
      </c>
      <c r="I9" s="51">
        <v>97</v>
      </c>
      <c r="J9" s="76">
        <v>42339</v>
      </c>
      <c r="K9" s="76">
        <v>44252</v>
      </c>
      <c r="L9" s="76">
        <v>45291</v>
      </c>
      <c r="M9" s="50">
        <v>25479414.780000001</v>
      </c>
      <c r="N9" s="50">
        <v>22791761.629999999</v>
      </c>
      <c r="O9" s="50">
        <v>19372997.390000001</v>
      </c>
      <c r="P9" s="50">
        <v>2962929.01</v>
      </c>
      <c r="Q9" s="50">
        <v>455835.23</v>
      </c>
      <c r="R9" s="50">
        <v>2687653.15</v>
      </c>
      <c r="S9" s="52">
        <f t="shared" si="3"/>
        <v>1321538.3899999999</v>
      </c>
      <c r="T9" s="69">
        <f t="shared" si="4"/>
        <v>15682493.439999999</v>
      </c>
      <c r="U9" s="78">
        <f t="shared" si="0"/>
        <v>3152069.913372058</v>
      </c>
      <c r="V9" s="73">
        <f t="shared" si="1"/>
        <v>5787729.7999999998</v>
      </c>
      <c r="W9" s="49">
        <f t="shared" si="2"/>
        <v>1171131.0805341967</v>
      </c>
      <c r="X9" s="50" t="s">
        <v>226</v>
      </c>
      <c r="Y9" s="50">
        <v>775697.48</v>
      </c>
      <c r="Z9" s="50">
        <v>14350983.59</v>
      </c>
      <c r="AA9" s="49">
        <v>0</v>
      </c>
      <c r="AB9" s="51" t="s">
        <v>225</v>
      </c>
      <c r="AC9" s="50">
        <v>295056.46999999997</v>
      </c>
      <c r="AD9" s="50">
        <v>0</v>
      </c>
      <c r="AE9" s="49">
        <v>4810148.0199999996</v>
      </c>
      <c r="AF9" s="51" t="s">
        <v>224</v>
      </c>
      <c r="AG9" s="50">
        <v>114444.22</v>
      </c>
      <c r="AH9" s="50">
        <v>0</v>
      </c>
      <c r="AI9" s="49">
        <v>977581.78</v>
      </c>
      <c r="AJ9" s="51" t="s">
        <v>223</v>
      </c>
      <c r="AK9" s="50">
        <v>136340.22</v>
      </c>
      <c r="AL9" s="50">
        <v>1331509.8500000001</v>
      </c>
      <c r="AM9" s="49"/>
      <c r="AN9" s="51"/>
      <c r="AO9" s="50"/>
      <c r="AP9" s="50"/>
      <c r="AQ9" s="49"/>
      <c r="AR9" s="51"/>
      <c r="AS9" s="50"/>
      <c r="AT9" s="50"/>
      <c r="AU9" s="49"/>
      <c r="AV9" s="51"/>
      <c r="AW9" s="50"/>
      <c r="AX9" s="50"/>
      <c r="AY9" s="49"/>
    </row>
    <row r="10" spans="1:51" ht="36" x14ac:dyDescent="0.3">
      <c r="A10" s="51">
        <v>9</v>
      </c>
      <c r="B10" s="51">
        <v>125915</v>
      </c>
      <c r="C10" s="51">
        <v>13</v>
      </c>
      <c r="D10" s="51">
        <v>13.1</v>
      </c>
      <c r="E10" s="51" t="s">
        <v>211</v>
      </c>
      <c r="F10" s="51" t="s">
        <v>114</v>
      </c>
      <c r="G10" s="51" t="s">
        <v>141</v>
      </c>
      <c r="H10" s="51" t="s">
        <v>142</v>
      </c>
      <c r="I10" s="51">
        <v>66</v>
      </c>
      <c r="J10" s="76">
        <v>43306</v>
      </c>
      <c r="K10" s="76">
        <v>44242</v>
      </c>
      <c r="L10" s="76">
        <v>45289</v>
      </c>
      <c r="M10" s="50">
        <v>20490976.940000001</v>
      </c>
      <c r="N10" s="50">
        <v>20489076.940000001</v>
      </c>
      <c r="O10" s="50">
        <v>17415715.420000002</v>
      </c>
      <c r="P10" s="50">
        <v>2663579.9700000002</v>
      </c>
      <c r="Q10" s="50">
        <v>409781.55</v>
      </c>
      <c r="R10" s="50">
        <v>1900</v>
      </c>
      <c r="S10" s="52">
        <f t="shared" si="3"/>
        <v>5522091.0499999998</v>
      </c>
      <c r="T10" s="69">
        <f t="shared" si="4"/>
        <v>10717406.92</v>
      </c>
      <c r="U10" s="78">
        <f t="shared" si="0"/>
        <v>2154122.7503869114</v>
      </c>
      <c r="V10" s="73">
        <f t="shared" si="1"/>
        <v>0</v>
      </c>
      <c r="W10" s="49">
        <f t="shared" si="2"/>
        <v>0</v>
      </c>
      <c r="X10" s="50" t="s">
        <v>222</v>
      </c>
      <c r="Y10" s="50">
        <v>1914995.04</v>
      </c>
      <c r="Z10" s="50">
        <v>1566554.55</v>
      </c>
      <c r="AA10" s="49">
        <v>0</v>
      </c>
      <c r="AB10" s="51" t="s">
        <v>221</v>
      </c>
      <c r="AC10" s="50">
        <v>3607096.01</v>
      </c>
      <c r="AD10" s="50">
        <v>9150852.3699999992</v>
      </c>
      <c r="AE10" s="49">
        <v>0</v>
      </c>
      <c r="AF10" s="51"/>
      <c r="AG10" s="50"/>
      <c r="AH10" s="50"/>
      <c r="AI10" s="49"/>
      <c r="AJ10" s="51"/>
      <c r="AK10" s="50"/>
      <c r="AL10" s="50"/>
      <c r="AM10" s="49"/>
      <c r="AN10" s="51"/>
      <c r="AO10" s="50"/>
      <c r="AP10" s="50"/>
      <c r="AQ10" s="49"/>
      <c r="AR10" s="51"/>
      <c r="AS10" s="50"/>
      <c r="AT10" s="50"/>
      <c r="AU10" s="49"/>
      <c r="AV10" s="51"/>
      <c r="AW10" s="50"/>
      <c r="AX10" s="50"/>
      <c r="AY10" s="49"/>
    </row>
    <row r="11" spans="1:51" ht="48" x14ac:dyDescent="0.3">
      <c r="A11" s="51">
        <v>10</v>
      </c>
      <c r="B11" s="51">
        <v>126058</v>
      </c>
      <c r="C11" s="51">
        <v>13</v>
      </c>
      <c r="D11" s="51">
        <v>13.1</v>
      </c>
      <c r="E11" s="51" t="s">
        <v>211</v>
      </c>
      <c r="F11" s="51" t="s">
        <v>114</v>
      </c>
      <c r="G11" s="51" t="s">
        <v>144</v>
      </c>
      <c r="H11" s="51" t="s">
        <v>119</v>
      </c>
      <c r="I11" s="51">
        <v>72</v>
      </c>
      <c r="J11" s="76">
        <v>43101</v>
      </c>
      <c r="K11" s="76">
        <v>43909</v>
      </c>
      <c r="L11" s="76">
        <v>45291</v>
      </c>
      <c r="M11" s="50">
        <v>17405188</v>
      </c>
      <c r="N11" s="50">
        <v>15661008.109999999</v>
      </c>
      <c r="O11" s="50">
        <v>13311856.9</v>
      </c>
      <c r="P11" s="50">
        <v>2035931.08</v>
      </c>
      <c r="Q11" s="50">
        <v>313220.13</v>
      </c>
      <c r="R11" s="50">
        <v>1744179.89</v>
      </c>
      <c r="S11" s="52">
        <f t="shared" si="3"/>
        <v>10862222.050000001</v>
      </c>
      <c r="T11" s="69">
        <f t="shared" si="4"/>
        <v>2977819.9</v>
      </c>
      <c r="U11" s="78">
        <f t="shared" si="0"/>
        <v>598520.67212027416</v>
      </c>
      <c r="V11" s="73">
        <f t="shared" si="1"/>
        <v>1113029.42</v>
      </c>
      <c r="W11" s="49">
        <f t="shared" si="2"/>
        <v>225218.41764467824</v>
      </c>
      <c r="X11" s="50" t="s">
        <v>220</v>
      </c>
      <c r="Y11" s="50">
        <v>2573800.9700000002</v>
      </c>
      <c r="Z11" s="50">
        <v>2472269.25</v>
      </c>
      <c r="AA11" s="49">
        <v>0</v>
      </c>
      <c r="AB11" s="51" t="s">
        <v>219</v>
      </c>
      <c r="AC11" s="50">
        <v>4897869.71</v>
      </c>
      <c r="AD11" s="50">
        <v>0</v>
      </c>
      <c r="AE11" s="49">
        <v>1113029.42</v>
      </c>
      <c r="AF11" s="51" t="s">
        <v>218</v>
      </c>
      <c r="AG11" s="50">
        <v>3390551.37</v>
      </c>
      <c r="AH11" s="50">
        <v>505550.65</v>
      </c>
      <c r="AI11" s="49"/>
      <c r="AJ11" s="51"/>
      <c r="AK11" s="50"/>
      <c r="AL11" s="50"/>
      <c r="AM11" s="49"/>
      <c r="AN11" s="51"/>
      <c r="AO11" s="50"/>
      <c r="AP11" s="50"/>
      <c r="AQ11" s="49"/>
      <c r="AR11" s="51"/>
      <c r="AS11" s="50"/>
      <c r="AT11" s="50"/>
      <c r="AU11" s="49"/>
      <c r="AV11" s="51"/>
      <c r="AW11" s="50"/>
      <c r="AX11" s="50"/>
      <c r="AY11" s="49"/>
    </row>
    <row r="12" spans="1:51" ht="108" x14ac:dyDescent="0.3">
      <c r="A12" s="51">
        <v>11</v>
      </c>
      <c r="B12" s="51">
        <v>126521</v>
      </c>
      <c r="C12" s="51">
        <v>13</v>
      </c>
      <c r="D12" s="51">
        <v>13.1</v>
      </c>
      <c r="E12" s="51" t="s">
        <v>211</v>
      </c>
      <c r="F12" s="51" t="s">
        <v>114</v>
      </c>
      <c r="G12" s="51" t="s">
        <v>146</v>
      </c>
      <c r="H12" s="51" t="s">
        <v>116</v>
      </c>
      <c r="I12" s="51">
        <v>65</v>
      </c>
      <c r="J12" s="76">
        <v>43313</v>
      </c>
      <c r="K12" s="76">
        <v>44322</v>
      </c>
      <c r="L12" s="76">
        <v>45291</v>
      </c>
      <c r="M12" s="50">
        <v>21905616.690000001</v>
      </c>
      <c r="N12" s="50">
        <v>20632635.359999999</v>
      </c>
      <c r="O12" s="50">
        <v>17537740.129999999</v>
      </c>
      <c r="P12" s="50">
        <v>2682242.4500000002</v>
      </c>
      <c r="Q12" s="50">
        <v>412652.78</v>
      </c>
      <c r="R12" s="50">
        <v>1272981.33</v>
      </c>
      <c r="S12" s="52">
        <f t="shared" si="3"/>
        <v>5811460.21</v>
      </c>
      <c r="T12" s="69">
        <f t="shared" si="4"/>
        <v>1698567.4300000002</v>
      </c>
      <c r="U12" s="78">
        <f t="shared" si="0"/>
        <v>341400.0020099291</v>
      </c>
      <c r="V12" s="73">
        <f t="shared" si="1"/>
        <v>10316544.6</v>
      </c>
      <c r="W12" s="49">
        <f t="shared" si="2"/>
        <v>2087524.20072845</v>
      </c>
      <c r="X12" s="50" t="s">
        <v>217</v>
      </c>
      <c r="Y12" s="50">
        <v>1845298.24</v>
      </c>
      <c r="Z12" s="50">
        <v>996818.83</v>
      </c>
      <c r="AA12" s="49">
        <v>0</v>
      </c>
      <c r="AB12" s="51" t="s">
        <v>212</v>
      </c>
      <c r="AC12" s="50">
        <v>1559284.52</v>
      </c>
      <c r="AD12" s="50">
        <v>0</v>
      </c>
      <c r="AE12" s="49">
        <v>6555445.6799999997</v>
      </c>
      <c r="AF12" s="51" t="s">
        <v>216</v>
      </c>
      <c r="AG12" s="50">
        <v>253848.38</v>
      </c>
      <c r="AH12" s="50">
        <v>0</v>
      </c>
      <c r="AI12" s="49">
        <v>3761098.92</v>
      </c>
      <c r="AJ12" s="51" t="s">
        <v>215</v>
      </c>
      <c r="AK12" s="50">
        <v>1854316.88</v>
      </c>
      <c r="AL12" s="74">
        <v>302604.96000000002</v>
      </c>
      <c r="AM12" s="49">
        <v>0</v>
      </c>
      <c r="AN12" s="51" t="s">
        <v>214</v>
      </c>
      <c r="AO12" s="50">
        <v>298712.19</v>
      </c>
      <c r="AP12" s="74">
        <v>399143.64</v>
      </c>
      <c r="AR12" s="51"/>
      <c r="AS12" s="50"/>
      <c r="AT12" s="50"/>
      <c r="AU12" s="49"/>
      <c r="AV12" s="51"/>
      <c r="AW12" s="50"/>
      <c r="AX12" s="50"/>
      <c r="AY12" s="49"/>
    </row>
    <row r="13" spans="1:51" s="45" customFormat="1" ht="84" x14ac:dyDescent="0.3">
      <c r="A13" s="51">
        <v>12</v>
      </c>
      <c r="B13" s="51">
        <v>126663</v>
      </c>
      <c r="C13" s="51">
        <v>13</v>
      </c>
      <c r="D13" s="51">
        <v>13.1</v>
      </c>
      <c r="E13" s="51" t="s">
        <v>211</v>
      </c>
      <c r="F13" s="51" t="s">
        <v>98</v>
      </c>
      <c r="G13" s="51" t="s">
        <v>105</v>
      </c>
      <c r="H13" s="51" t="s">
        <v>106</v>
      </c>
      <c r="I13" s="51">
        <v>65</v>
      </c>
      <c r="J13" s="76">
        <v>43313</v>
      </c>
      <c r="K13" s="76">
        <v>44252</v>
      </c>
      <c r="L13" s="76">
        <v>45291</v>
      </c>
      <c r="M13" s="50">
        <v>11852647.1</v>
      </c>
      <c r="N13" s="50">
        <v>11780533.1</v>
      </c>
      <c r="O13" s="50">
        <v>10013453.130000001</v>
      </c>
      <c r="P13" s="50">
        <v>1531469.3</v>
      </c>
      <c r="Q13" s="50">
        <v>235610.67</v>
      </c>
      <c r="R13" s="50">
        <v>72114</v>
      </c>
      <c r="S13" s="52">
        <f t="shared" si="3"/>
        <v>8170276.3300000001</v>
      </c>
      <c r="T13" s="69">
        <f t="shared" si="4"/>
        <v>334197.59000000003</v>
      </c>
      <c r="U13" s="78">
        <f t="shared" si="0"/>
        <v>67171.344441541223</v>
      </c>
      <c r="V13" s="73">
        <f t="shared" si="1"/>
        <v>1288650.3999999999</v>
      </c>
      <c r="W13" s="49">
        <f t="shared" si="2"/>
        <v>260754.83609874541</v>
      </c>
      <c r="X13" s="50" t="s">
        <v>213</v>
      </c>
      <c r="Y13" s="50">
        <v>3575366.98</v>
      </c>
      <c r="Z13" s="50">
        <v>334197.59000000003</v>
      </c>
      <c r="AA13" s="49">
        <v>0</v>
      </c>
      <c r="AB13" s="51" t="s">
        <v>212</v>
      </c>
      <c r="AC13" s="50">
        <v>4594909.3499999996</v>
      </c>
      <c r="AD13" s="50">
        <v>0</v>
      </c>
      <c r="AE13" s="49">
        <v>1288650.3999999999</v>
      </c>
      <c r="AF13" s="51"/>
      <c r="AG13" s="50"/>
      <c r="AH13" s="50"/>
      <c r="AI13" s="49"/>
      <c r="AJ13" s="51"/>
      <c r="AK13" s="50"/>
      <c r="AL13" s="50"/>
      <c r="AM13" s="49"/>
      <c r="AN13" s="51"/>
      <c r="AO13" s="50"/>
      <c r="AP13" s="50"/>
      <c r="AQ13" s="49"/>
      <c r="AR13" s="51"/>
      <c r="AS13" s="50"/>
      <c r="AT13" s="50"/>
      <c r="AU13" s="49"/>
      <c r="AV13" s="54"/>
      <c r="AW13" s="52"/>
      <c r="AX13" s="52"/>
      <c r="AY13" s="53"/>
    </row>
    <row r="14" spans="1:51" ht="72" x14ac:dyDescent="0.3">
      <c r="A14" s="51">
        <v>13</v>
      </c>
      <c r="B14" s="51">
        <v>126023</v>
      </c>
      <c r="C14" s="51">
        <v>13</v>
      </c>
      <c r="D14" s="51">
        <v>13.1</v>
      </c>
      <c r="E14" s="51" t="s">
        <v>211</v>
      </c>
      <c r="F14" s="51" t="s">
        <v>98</v>
      </c>
      <c r="G14" s="51" t="s">
        <v>102</v>
      </c>
      <c r="H14" s="51" t="s">
        <v>103</v>
      </c>
      <c r="I14" s="51">
        <v>63</v>
      </c>
      <c r="J14" s="76">
        <v>43313</v>
      </c>
      <c r="K14" s="76">
        <v>44021</v>
      </c>
      <c r="L14" s="76">
        <v>45230</v>
      </c>
      <c r="M14" s="50">
        <v>24273208.059999999</v>
      </c>
      <c r="N14" s="50">
        <v>23160453.329999998</v>
      </c>
      <c r="O14" s="50">
        <v>19686385.34</v>
      </c>
      <c r="P14" s="50">
        <v>3010858.9</v>
      </c>
      <c r="Q14" s="50">
        <v>463209.09</v>
      </c>
      <c r="R14" s="50">
        <v>1112754.73</v>
      </c>
      <c r="S14" s="52">
        <f t="shared" si="3"/>
        <v>10295276.92</v>
      </c>
      <c r="T14" s="69">
        <f t="shared" si="4"/>
        <v>9135977.5500000007</v>
      </c>
      <c r="U14" s="78">
        <f>T14/4.9753</f>
        <v>1836266.6673366432</v>
      </c>
      <c r="V14" s="73">
        <f>AE14+AI14+AM14+AQ14+AU14+AY14</f>
        <v>2382767.3600000003</v>
      </c>
      <c r="W14" s="49">
        <f t="shared" si="2"/>
        <v>482146.36989073257</v>
      </c>
      <c r="X14" s="50" t="s">
        <v>210</v>
      </c>
      <c r="Y14" s="50">
        <v>4130223.09</v>
      </c>
      <c r="Z14" s="75">
        <v>5703987.2999999998</v>
      </c>
      <c r="AA14" s="44">
        <v>0</v>
      </c>
      <c r="AB14" s="51" t="s">
        <v>209</v>
      </c>
      <c r="AC14" s="50">
        <v>4021771.05</v>
      </c>
      <c r="AD14" s="50">
        <v>3431990.25</v>
      </c>
      <c r="AE14" s="49">
        <v>0</v>
      </c>
      <c r="AF14" s="51" t="s">
        <v>208</v>
      </c>
      <c r="AG14" s="50">
        <v>238000.5</v>
      </c>
      <c r="AH14" s="50">
        <v>0</v>
      </c>
      <c r="AI14" s="49">
        <v>1420493.83</v>
      </c>
      <c r="AJ14" s="51" t="s">
        <v>207</v>
      </c>
      <c r="AK14" s="50">
        <v>1905282.28</v>
      </c>
      <c r="AL14" s="50">
        <v>0</v>
      </c>
      <c r="AM14" s="49">
        <v>962273.53</v>
      </c>
      <c r="AN14" s="51"/>
      <c r="AO14" s="50"/>
      <c r="AP14" s="50"/>
      <c r="AQ14" s="49"/>
      <c r="AR14" s="51"/>
      <c r="AS14" s="51"/>
      <c r="AT14" s="51"/>
      <c r="AU14" s="49"/>
      <c r="AV14" s="51"/>
      <c r="AW14" s="50"/>
      <c r="AX14" s="50"/>
      <c r="AY14" s="49"/>
    </row>
    <row r="15" spans="1:51" ht="40.200000000000003" customHeight="1" x14ac:dyDescent="0.3">
      <c r="M15" s="70">
        <f t="shared" ref="M15:R15" si="5">SUM(M2:M14)</f>
        <v>269276355.68999994</v>
      </c>
      <c r="N15" s="70">
        <f t="shared" si="5"/>
        <v>256163585.06</v>
      </c>
      <c r="O15" s="70">
        <f t="shared" si="5"/>
        <v>217739047.47000003</v>
      </c>
      <c r="P15" s="70">
        <f t="shared" si="5"/>
        <v>33301264.749999993</v>
      </c>
      <c r="Q15" s="70">
        <f t="shared" si="5"/>
        <v>5123272.8399999989</v>
      </c>
      <c r="R15" s="70">
        <f t="shared" si="5"/>
        <v>13112770.630000001</v>
      </c>
      <c r="S15" s="70">
        <f>SUM(S2:S14)</f>
        <v>96169803.179999992</v>
      </c>
      <c r="T15" s="70">
        <f>SUM(T2:T14)</f>
        <v>100782465.89000003</v>
      </c>
      <c r="U15" s="70">
        <f>SUM(U2:U14)</f>
        <v>20256560.587301265</v>
      </c>
      <c r="V15" s="70">
        <f t="shared" ref="V15:W15" si="6">SUM(V2:V14)</f>
        <v>51616769.670000002</v>
      </c>
      <c r="W15" s="70">
        <f t="shared" si="6"/>
        <v>10444510.252934035</v>
      </c>
    </row>
    <row r="17" spans="19:26" ht="24" x14ac:dyDescent="0.3">
      <c r="S17" s="48" t="s">
        <v>206</v>
      </c>
      <c r="T17" s="71"/>
      <c r="U17" s="79">
        <f>Z2+Z5+Z8+Z9+Z11+AH11+Z12+Z14+AD14+Z13+AP12+AD3</f>
        <v>67222652.709999993</v>
      </c>
      <c r="V17" s="89">
        <f>U17/4.9753</f>
        <v>13511276.246658493</v>
      </c>
      <c r="W17" s="46"/>
      <c r="X17" s="47"/>
    </row>
    <row r="18" spans="19:26" x14ac:dyDescent="0.3">
      <c r="S18" s="48" t="s">
        <v>205</v>
      </c>
      <c r="T18" s="71"/>
      <c r="U18" s="79">
        <f>Z4+Z6+Z7+AD10</f>
        <v>25020808.409999996</v>
      </c>
      <c r="V18" s="89">
        <f t="shared" ref="V18:V21" si="7">U18/4.9753</f>
        <v>5029004.9665346807</v>
      </c>
      <c r="W18" s="46"/>
      <c r="X18" s="47"/>
    </row>
    <row r="19" spans="19:26" ht="24" x14ac:dyDescent="0.3">
      <c r="S19" s="48" t="s">
        <v>204</v>
      </c>
      <c r="T19" s="71"/>
      <c r="U19" s="79">
        <f>AD2+AL9+Z10+AL12</f>
        <v>3718601.56</v>
      </c>
      <c r="V19" s="89">
        <f t="shared" si="7"/>
        <v>747412.52989769459</v>
      </c>
      <c r="W19" s="46"/>
      <c r="X19" s="47"/>
      <c r="Y19" s="44">
        <v>1288650.3999999999</v>
      </c>
      <c r="Z19" s="44">
        <f>Y19*85/100</f>
        <v>1095352.8399999999</v>
      </c>
    </row>
    <row r="20" spans="19:26" x14ac:dyDescent="0.3">
      <c r="S20" s="48" t="s">
        <v>203</v>
      </c>
      <c r="T20" s="71"/>
      <c r="U20" s="79">
        <f>AD6</f>
        <v>4820403.21</v>
      </c>
      <c r="V20" s="89">
        <f t="shared" si="7"/>
        <v>968866.84421039943</v>
      </c>
      <c r="Y20" s="44">
        <v>2382767.3600000003</v>
      </c>
      <c r="Z20" s="44">
        <f>Y20*85/100</f>
        <v>2025352.2560000003</v>
      </c>
    </row>
    <row r="21" spans="19:26" x14ac:dyDescent="0.3">
      <c r="U21" s="80">
        <f>U17+U18+U19+U20</f>
        <v>100782465.88999999</v>
      </c>
      <c r="V21" s="89">
        <f t="shared" si="7"/>
        <v>20256560.587301265</v>
      </c>
    </row>
    <row r="27" spans="19:26" x14ac:dyDescent="0.3">
      <c r="X27" s="47">
        <f>U21-T15</f>
        <v>0</v>
      </c>
    </row>
  </sheetData>
  <pageMargins left="0.25" right="0.25" top="0.75" bottom="0.75" header="0.3" footer="0.3"/>
  <pageSetup paperSize="8" scale="4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8BF25-32CF-4253-93C2-EF521C433A66}">
  <sheetPr>
    <pageSetUpPr fitToPage="1"/>
  </sheetPr>
  <dimension ref="A2:J31"/>
  <sheetViews>
    <sheetView topLeftCell="A7" workbookViewId="0">
      <selection activeCell="N10" sqref="N10"/>
    </sheetView>
  </sheetViews>
  <sheetFormatPr defaultColWidth="8.88671875" defaultRowHeight="14.4" x14ac:dyDescent="0.3"/>
  <cols>
    <col min="1" max="1" width="8.88671875" style="82" customWidth="1"/>
    <col min="2" max="2" width="29.6640625" style="1" customWidth="1"/>
    <col min="3" max="3" width="15.21875" style="1" customWidth="1"/>
    <col min="4" max="4" width="13.77734375" style="1" customWidth="1"/>
    <col min="5" max="5" width="11.5546875" style="1" bestFit="1" customWidth="1"/>
    <col min="6" max="6" width="8.88671875" style="1"/>
    <col min="7" max="8" width="13.77734375" style="1" bestFit="1" customWidth="1"/>
    <col min="9" max="9" width="9.109375" style="1" customWidth="1"/>
    <col min="10" max="10" width="20.109375" style="1" customWidth="1"/>
    <col min="11" max="11" width="8.88671875" style="1"/>
    <col min="12" max="12" width="11" style="1" bestFit="1" customWidth="1"/>
    <col min="13" max="16384" width="8.88671875" style="1"/>
  </cols>
  <sheetData>
    <row r="2" spans="1:10" ht="23.4" x14ac:dyDescent="0.3">
      <c r="E2" s="96" t="s">
        <v>290</v>
      </c>
    </row>
    <row r="3" spans="1:10" x14ac:dyDescent="0.3">
      <c r="C3" s="1" t="s">
        <v>307</v>
      </c>
    </row>
    <row r="4" spans="1:10" ht="57.6" x14ac:dyDescent="0.3">
      <c r="B4" s="83" t="s">
        <v>186</v>
      </c>
      <c r="C4" s="83" t="s">
        <v>278</v>
      </c>
      <c r="D4" s="83" t="s">
        <v>279</v>
      </c>
      <c r="E4" s="83" t="s">
        <v>280</v>
      </c>
      <c r="F4" s="83" t="s">
        <v>282</v>
      </c>
      <c r="G4" s="83" t="s">
        <v>187</v>
      </c>
      <c r="H4" s="83" t="s">
        <v>188</v>
      </c>
      <c r="I4" s="106" t="s">
        <v>304</v>
      </c>
      <c r="J4" s="106" t="s">
        <v>302</v>
      </c>
    </row>
    <row r="5" spans="1:10" ht="43.2" x14ac:dyDescent="0.3">
      <c r="A5" s="82" t="s">
        <v>291</v>
      </c>
      <c r="B5" s="2" t="s">
        <v>277</v>
      </c>
      <c r="C5" s="108">
        <v>80117647</v>
      </c>
      <c r="D5" s="108">
        <v>68100000</v>
      </c>
      <c r="E5" s="88">
        <f t="shared" ref="E5:E16" si="0">H5/C5</f>
        <v>5.0471235192764072E-3</v>
      </c>
      <c r="F5" s="90">
        <v>1</v>
      </c>
      <c r="G5" s="85">
        <f>H5*0.85</f>
        <v>343709.11141036719</v>
      </c>
      <c r="H5" s="85">
        <f>Sheet1!O8</f>
        <v>404363.66048278491</v>
      </c>
      <c r="I5" s="102">
        <f t="shared" ref="I5:I16" si="1">G5/$G$16*100</f>
        <v>0.33918770682787264</v>
      </c>
      <c r="J5" s="104"/>
    </row>
    <row r="6" spans="1:10" x14ac:dyDescent="0.3">
      <c r="A6" s="82" t="s">
        <v>276</v>
      </c>
      <c r="B6" s="2" t="s">
        <v>189</v>
      </c>
      <c r="C6" s="108">
        <v>152941177</v>
      </c>
      <c r="D6" s="108">
        <v>130000000</v>
      </c>
      <c r="E6" s="88">
        <f t="shared" si="0"/>
        <v>1.2019149827981782E-3</v>
      </c>
      <c r="F6" s="84">
        <v>1</v>
      </c>
      <c r="G6" s="85">
        <f>H6*0.85</f>
        <v>156248.94830462491</v>
      </c>
      <c r="H6" s="85">
        <f>Sheet1!O10</f>
        <v>183822.29212308812</v>
      </c>
      <c r="I6" s="102">
        <f t="shared" si="1"/>
        <v>0.15419353374789235</v>
      </c>
      <c r="J6" s="104"/>
    </row>
    <row r="7" spans="1:10" x14ac:dyDescent="0.3">
      <c r="A7" s="82" t="s">
        <v>292</v>
      </c>
      <c r="B7" s="2" t="s">
        <v>190</v>
      </c>
      <c r="C7" s="108">
        <v>146287059</v>
      </c>
      <c r="D7" s="108">
        <v>124344000</v>
      </c>
      <c r="E7" s="88">
        <f t="shared" si="0"/>
        <v>7.0606764005751374E-2</v>
      </c>
      <c r="F7" s="84">
        <v>12</v>
      </c>
      <c r="G7" s="85">
        <f t="shared" ref="G7:G15" si="2">H7*0.85</f>
        <v>8779527.4741221648</v>
      </c>
      <c r="H7" s="85">
        <f>Sheet1!O22+'AXA 13'!V20</f>
        <v>10328855.851908429</v>
      </c>
      <c r="I7" s="102">
        <f t="shared" si="1"/>
        <v>8.6640350579021064</v>
      </c>
      <c r="J7" s="104"/>
    </row>
    <row r="8" spans="1:10" ht="28.8" x14ac:dyDescent="0.3">
      <c r="A8" s="111" t="s">
        <v>293</v>
      </c>
      <c r="B8" s="2" t="s">
        <v>309</v>
      </c>
      <c r="C8" s="109">
        <v>215992941</v>
      </c>
      <c r="D8" s="109">
        <v>183594000</v>
      </c>
      <c r="E8" s="88">
        <f t="shared" si="0"/>
        <v>0.29573959310343245</v>
      </c>
      <c r="F8" s="110">
        <v>13</v>
      </c>
      <c r="G8" s="85">
        <f t="shared" si="2"/>
        <v>54296014.811870642</v>
      </c>
      <c r="H8" s="85">
        <f>Sheet1!O37+Sheet1!O26</f>
        <v>63877664.484553695</v>
      </c>
      <c r="I8" s="103">
        <f t="shared" si="1"/>
        <v>53.581764761372341</v>
      </c>
      <c r="J8" s="107" t="s">
        <v>303</v>
      </c>
    </row>
    <row r="9" spans="1:10" ht="43.2" x14ac:dyDescent="0.3">
      <c r="A9" s="82" t="s">
        <v>294</v>
      </c>
      <c r="B9" s="2" t="s">
        <v>191</v>
      </c>
      <c r="C9" s="108">
        <v>225147058.99993876</v>
      </c>
      <c r="D9" s="108">
        <v>191375000</v>
      </c>
      <c r="E9" s="88">
        <f t="shared" si="0"/>
        <v>0.10369460404799724</v>
      </c>
      <c r="F9" s="84">
        <v>3</v>
      </c>
      <c r="G9" s="85">
        <f>H9*0.85</f>
        <v>19844554.865234263</v>
      </c>
      <c r="H9" s="85">
        <f>Sheet1!O45</f>
        <v>23346535.135569721</v>
      </c>
      <c r="I9" s="103">
        <f t="shared" si="1"/>
        <v>19.583504871717778</v>
      </c>
      <c r="J9" s="107" t="s">
        <v>301</v>
      </c>
    </row>
    <row r="10" spans="1:10" ht="43.2" x14ac:dyDescent="0.3">
      <c r="A10" s="82" t="s">
        <v>295</v>
      </c>
      <c r="B10" s="2" t="s">
        <v>192</v>
      </c>
      <c r="C10" s="108">
        <v>13194877</v>
      </c>
      <c r="D10" s="108">
        <v>6331000</v>
      </c>
      <c r="E10" s="88">
        <f t="shared" si="0"/>
        <v>0.39967369224693111</v>
      </c>
      <c r="F10" s="84">
        <v>6</v>
      </c>
      <c r="G10" s="85">
        <f>H10*0.479807411507</f>
        <v>2530334.0570968906</v>
      </c>
      <c r="H10" s="85">
        <f>Sheet1!O52+'AXA 13'!V18</f>
        <v>5273645.2093341099</v>
      </c>
      <c r="I10" s="103">
        <f t="shared" si="1"/>
        <v>2.4970481661466781</v>
      </c>
      <c r="J10" s="107" t="s">
        <v>305</v>
      </c>
    </row>
    <row r="11" spans="1:10" ht="28.8" x14ac:dyDescent="0.3">
      <c r="A11" s="82" t="s">
        <v>296</v>
      </c>
      <c r="B11" s="2" t="s">
        <v>193</v>
      </c>
      <c r="C11" s="108">
        <v>31016090</v>
      </c>
      <c r="D11" s="108">
        <v>14881750</v>
      </c>
      <c r="E11" s="88">
        <f t="shared" si="0"/>
        <v>0.59145032737287562</v>
      </c>
      <c r="F11" s="84">
        <v>19</v>
      </c>
      <c r="G11" s="85">
        <f t="shared" ref="G11:G12" si="3">H11*0.479807411507</f>
        <v>8801815.825376505</v>
      </c>
      <c r="H11" s="85">
        <f>Sheet1!O60+'AXA 13'!V17</f>
        <v>18344476.584326573</v>
      </c>
      <c r="I11" s="103">
        <f t="shared" si="1"/>
        <v>8.6860302116526515</v>
      </c>
      <c r="J11" s="107" t="s">
        <v>306</v>
      </c>
    </row>
    <row r="12" spans="1:10" ht="28.8" x14ac:dyDescent="0.3">
      <c r="A12" s="82" t="s">
        <v>297</v>
      </c>
      <c r="B12" s="2" t="s">
        <v>194</v>
      </c>
      <c r="C12" s="108">
        <v>30220133</v>
      </c>
      <c r="D12" s="108">
        <v>14499844</v>
      </c>
      <c r="E12" s="88">
        <f t="shared" si="0"/>
        <v>0.12411331236647834</v>
      </c>
      <c r="F12" s="84">
        <v>3</v>
      </c>
      <c r="G12" s="85">
        <f t="shared" si="3"/>
        <v>1799623.6415892071</v>
      </c>
      <c r="H12" s="85">
        <f>Sheet1!O64</f>
        <v>3750720.8067855202</v>
      </c>
      <c r="I12" s="103">
        <f t="shared" si="1"/>
        <v>1.7759500574166536</v>
      </c>
      <c r="J12" s="104"/>
    </row>
    <row r="13" spans="1:10" x14ac:dyDescent="0.3">
      <c r="A13" s="82" t="s">
        <v>298</v>
      </c>
      <c r="B13" s="2" t="s">
        <v>195</v>
      </c>
      <c r="C13" s="108">
        <v>10583503</v>
      </c>
      <c r="D13" s="108">
        <v>8995978</v>
      </c>
      <c r="E13" s="88">
        <f t="shared" si="0"/>
        <v>0.16579347577036541</v>
      </c>
      <c r="F13" s="84">
        <v>3</v>
      </c>
      <c r="G13" s="85">
        <f t="shared" si="2"/>
        <v>1491474.3859666761</v>
      </c>
      <c r="H13" s="85">
        <f>Sheet1!O49</f>
        <v>1754675.7481960896</v>
      </c>
      <c r="I13" s="102">
        <f t="shared" si="1"/>
        <v>1.4718544256586368</v>
      </c>
      <c r="J13" s="104"/>
    </row>
    <row r="14" spans="1:10" x14ac:dyDescent="0.3">
      <c r="A14" s="82" t="s">
        <v>299</v>
      </c>
      <c r="B14" s="2" t="s">
        <v>274</v>
      </c>
      <c r="C14" s="108">
        <v>50562727.088030942</v>
      </c>
      <c r="D14" s="108">
        <v>42978318</v>
      </c>
      <c r="E14" s="88">
        <f t="shared" si="0"/>
        <v>5.9953856231816698E-2</v>
      </c>
      <c r="F14" s="84">
        <v>1</v>
      </c>
      <c r="G14" s="85">
        <f t="shared" si="2"/>
        <v>2576715.8999457322</v>
      </c>
      <c r="H14" s="85">
        <f>Sheet1!O39</f>
        <v>3031430.4705243907</v>
      </c>
      <c r="I14" s="102">
        <f t="shared" si="1"/>
        <v>2.5428198678330096</v>
      </c>
      <c r="J14" s="104"/>
    </row>
    <row r="15" spans="1:10" x14ac:dyDescent="0.3">
      <c r="A15" s="82" t="s">
        <v>299</v>
      </c>
      <c r="B15" s="2" t="s">
        <v>196</v>
      </c>
      <c r="C15" s="108">
        <v>34069772.960856773</v>
      </c>
      <c r="D15" s="108">
        <v>28959307</v>
      </c>
      <c r="E15" s="88">
        <f t="shared" si="0"/>
        <v>2.4620428444173836E-2</v>
      </c>
      <c r="F15" s="84">
        <v>5</v>
      </c>
      <c r="G15" s="85">
        <f t="shared" si="2"/>
        <v>712990.54619821929</v>
      </c>
      <c r="H15" s="85">
        <f>Sheet1!O41+'AXA 13'!V19</f>
        <v>838812.40729202272</v>
      </c>
      <c r="I15" s="102">
        <f t="shared" si="1"/>
        <v>0.70361133972438517</v>
      </c>
      <c r="J15" s="104"/>
    </row>
    <row r="16" spans="1:10" ht="31.2" customHeight="1" x14ac:dyDescent="0.3">
      <c r="B16" s="83" t="s">
        <v>197</v>
      </c>
      <c r="C16" s="86">
        <f>SUM(C5:C15)</f>
        <v>990132986.04882646</v>
      </c>
      <c r="D16" s="86">
        <f>SUM(D5:D15)</f>
        <v>814059197</v>
      </c>
      <c r="E16" s="88">
        <f t="shared" si="0"/>
        <v>0.13244180781654089</v>
      </c>
      <c r="F16" s="91">
        <f>SUM(F5:F15)</f>
        <v>67</v>
      </c>
      <c r="G16" s="86">
        <f>SUM(G5:G15)</f>
        <v>101333009.56711529</v>
      </c>
      <c r="H16" s="100">
        <f>SUM(H5:H15)</f>
        <v>131135002.65109643</v>
      </c>
      <c r="I16" s="102">
        <f t="shared" si="1"/>
        <v>100</v>
      </c>
      <c r="J16" s="105"/>
    </row>
    <row r="17" spans="1:10" ht="31.2" customHeight="1" x14ac:dyDescent="0.3">
      <c r="B17" s="83" t="s">
        <v>283</v>
      </c>
      <c r="C17" s="86"/>
      <c r="D17" s="86"/>
      <c r="E17" s="88"/>
      <c r="F17" s="91">
        <v>46</v>
      </c>
      <c r="G17" s="86"/>
      <c r="H17" s="86"/>
    </row>
    <row r="18" spans="1:10" ht="31.2" customHeight="1" x14ac:dyDescent="0.3">
      <c r="B18" s="83" t="s">
        <v>284</v>
      </c>
      <c r="C18" s="86"/>
      <c r="D18" s="95" t="s">
        <v>300</v>
      </c>
      <c r="E18" s="88"/>
      <c r="F18" s="91">
        <v>13</v>
      </c>
      <c r="G18" s="86"/>
      <c r="H18" s="86"/>
    </row>
    <row r="19" spans="1:10" ht="28.8" x14ac:dyDescent="0.3">
      <c r="B19" s="97" t="s">
        <v>198</v>
      </c>
      <c r="C19" s="98">
        <f>H16/B26</f>
        <v>8.3165459254701715E-2</v>
      </c>
      <c r="D19" s="86"/>
      <c r="E19" s="87"/>
      <c r="F19" s="87"/>
      <c r="G19" s="87"/>
      <c r="H19" s="87"/>
    </row>
    <row r="20" spans="1:10" ht="28.8" x14ac:dyDescent="0.3">
      <c r="B20" s="97" t="s">
        <v>281</v>
      </c>
      <c r="C20" s="99">
        <f>G16/B24</f>
        <v>7.7228530045495861E-2</v>
      </c>
      <c r="D20" s="30"/>
      <c r="E20" s="84"/>
      <c r="F20" s="84"/>
      <c r="G20" s="84"/>
      <c r="H20" s="84"/>
    </row>
    <row r="21" spans="1:10" x14ac:dyDescent="0.3">
      <c r="J21" s="9">
        <f>H22-109166</f>
        <v>131025836.65109642</v>
      </c>
    </row>
    <row r="22" spans="1:10" x14ac:dyDescent="0.3">
      <c r="G22" s="92" t="s">
        <v>287</v>
      </c>
      <c r="H22" s="101">
        <f>Sheet1!O79</f>
        <v>131135002.65109642</v>
      </c>
      <c r="I22" s="93" t="s">
        <v>288</v>
      </c>
      <c r="J22" s="1">
        <f>J21/B26</f>
        <v>8.3096226476713705E-2</v>
      </c>
    </row>
    <row r="24" spans="1:10" x14ac:dyDescent="0.3">
      <c r="A24" s="133" t="s">
        <v>285</v>
      </c>
      <c r="B24" s="134">
        <v>1312118844</v>
      </c>
      <c r="H24" s="94">
        <f>H22-H16</f>
        <v>0</v>
      </c>
      <c r="I24" s="93" t="s">
        <v>289</v>
      </c>
    </row>
    <row r="25" spans="1:10" x14ac:dyDescent="0.3">
      <c r="A25" s="133"/>
      <c r="B25" s="134"/>
    </row>
    <row r="26" spans="1:10" ht="43.2" x14ac:dyDescent="0.3">
      <c r="A26" s="122" t="s">
        <v>286</v>
      </c>
      <c r="B26" s="86">
        <v>1576796470.8699999</v>
      </c>
    </row>
    <row r="29" spans="1:10" x14ac:dyDescent="0.3">
      <c r="A29" s="82" t="s">
        <v>308</v>
      </c>
    </row>
    <row r="31" spans="1:10" x14ac:dyDescent="0.3">
      <c r="H31" s="1">
        <f>H22/B26</f>
        <v>8.3165459254701701E-2</v>
      </c>
    </row>
  </sheetData>
  <mergeCells count="2">
    <mergeCell ref="A24:A25"/>
    <mergeCell ref="B24:B25"/>
  </mergeCells>
  <phoneticPr fontId="17" type="noConversion"/>
  <pageMargins left="0.7" right="0.7" top="0.75" bottom="0.75" header="0.3" footer="0.3"/>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3</vt:i4>
      </vt:variant>
    </vt:vector>
  </HeadingPairs>
  <TitlesOfParts>
    <vt:vector size="6" baseType="lpstr">
      <vt:lpstr>Sheet1</vt:lpstr>
      <vt:lpstr>AXA 13</vt:lpstr>
      <vt:lpstr>Centralizare</vt:lpstr>
      <vt:lpstr>'AXA 13'!Zona_de_imprimat</vt:lpstr>
      <vt:lpstr>Centralizare!Zona_de_imprimat</vt:lpstr>
      <vt:lpstr>Sheet1!Zona_de_imprimat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Adela Simon</cp:lastModifiedBy>
  <cp:lastPrinted>2024-04-05T08:51:25Z</cp:lastPrinted>
  <dcterms:created xsi:type="dcterms:W3CDTF">2015-06-05T18:17:20Z</dcterms:created>
  <dcterms:modified xsi:type="dcterms:W3CDTF">2024-04-05T08:53:47Z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2024-02-26T16:55:29Z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9890d6f8-f34f-4b1e-ad1c-48aba5bf1f74</vt:lpwstr>
  </property>
  <property fmtid="{D5CDD505-2E9C-101B-9397-08002B2CF9AE}" pid="8" name="MSIP_Label_6bd9ddd1-4d20-43f6-abfa-fc3c07406f94_ContentBits">
    <vt:lpwstr>0</vt:lpwstr>
  </property>
</Properties>
</file>